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CHI 2019" sheetId="1" r:id="rId1"/>
    <sheet name="CUV" sheetId="2" r:id="rId2"/>
    <sheet name="HDND" sheetId="3" r:id="rId3"/>
    <sheet name="BANG LUONG" sheetId="4" r:id="rId4"/>
    <sheet name="THU XDCB" sheetId="5" r:id="rId5"/>
    <sheet name="THU 2019" sheetId="6" r:id="rId6"/>
  </sheets>
  <definedNames/>
  <calcPr fullCalcOnLoad="1"/>
</workbook>
</file>

<file path=xl/sharedStrings.xml><?xml version="1.0" encoding="utf-8"?>
<sst xmlns="http://schemas.openxmlformats.org/spreadsheetml/2006/main" count="789" uniqueCount="405">
  <si>
    <t>KẾ TOÁN                      CT ỦY BAN NHÂN DÂN                        TM.HỘI ĐỒNG NHÂN DÂN</t>
  </si>
  <si>
    <t xml:space="preserve">     KẾ TOÁN                CT ỦY BAN NHÂN DÂN                 TM.HỘI ĐỒNG NHÂN DÂN</t>
  </si>
  <si>
    <t xml:space="preserve">  KẾ TOÁN                  CT UỶ BAN NHÂN DÂN        CT HỘI ĐỒNG NHÂN DÂN      </t>
  </si>
  <si>
    <t>Thu nhập tăng thêm tạm tính</t>
  </si>
  <si>
    <t>Chi phụ cấp chức vụ</t>
  </si>
  <si>
    <t>Chi trà, nước uống</t>
  </si>
  <si>
    <t>Chi thuê mướn</t>
  </si>
  <si>
    <t>Chi ban thanh tra nhân dân</t>
  </si>
  <si>
    <t>Chi phụ cấp thực hiện thủ tục CCHC</t>
  </si>
  <si>
    <t>Chi BHYT Thanh niên</t>
  </si>
  <si>
    <t>Chi BHXH Thanh niên</t>
  </si>
  <si>
    <t>Chi KPCĐ Thanh niên</t>
  </si>
  <si>
    <t>Chi trả KPCĐ Phụ nữ</t>
  </si>
  <si>
    <t>Chi trả BHYT Phụ nữ</t>
  </si>
  <si>
    <t>Chi BHYT Nông dân</t>
  </si>
  <si>
    <t>Chi KPCĐ Nông dân</t>
  </si>
  <si>
    <t>Chi BHXH Nông dân</t>
  </si>
  <si>
    <t>Chi BHXH Mặt trận</t>
  </si>
  <si>
    <t>Chi BHYT Mặt trận</t>
  </si>
  <si>
    <t>Chi KPCĐ Mặt trận</t>
  </si>
  <si>
    <t>Chi BHXH Đảng</t>
  </si>
  <si>
    <t>Chi BHYT Đảng</t>
  </si>
  <si>
    <t>Chi  KPCĐ Đảng</t>
  </si>
  <si>
    <t>Chi trả BHXH Phụ nữ</t>
  </si>
  <si>
    <t>Chi phụ cấp trách nhiệm</t>
  </si>
  <si>
    <t>Thu thuế GTGT+ TNDN</t>
  </si>
  <si>
    <t>Phí môn bài</t>
  </si>
  <si>
    <t>Thu NS được giao năm 2019</t>
  </si>
  <si>
    <t>Chi nước uống</t>
  </si>
  <si>
    <t>Nước uống</t>
  </si>
  <si>
    <t>khen thưởng</t>
  </si>
  <si>
    <t>Chi mua máy móc, thiết bị</t>
  </si>
  <si>
    <t>Đường bê tông thôn An Bàng, thôn Thủy yên Hạ, xã Lộc Thủy (gđ 1)</t>
  </si>
  <si>
    <t>Thu thuế TNCN hộ cá thể</t>
  </si>
  <si>
    <t>Thu lệ phí trước bạ, nhà đất</t>
  </si>
  <si>
    <t>Nguyễn Thị Kim Chi</t>
  </si>
  <si>
    <t>Nguyễn Đình Hoài</t>
  </si>
  <si>
    <t>Thủ quỷ</t>
  </si>
  <si>
    <t>B trưởng cơ động</t>
  </si>
  <si>
    <t>CN UBKT Đảng</t>
  </si>
  <si>
    <t>Dân vận</t>
  </si>
  <si>
    <t>Phan Thanh Bình</t>
  </si>
  <si>
    <t>xã đội trưởng</t>
  </si>
  <si>
    <t>Phụ cấp trách nhiệm quản lý</t>
  </si>
  <si>
    <t xml:space="preserve">  CỘNG HÒA XÃ HỘI CHỦ NGHĨA VIỆT NAM</t>
  </si>
  <si>
    <r>
      <t xml:space="preserve">     </t>
    </r>
    <r>
      <rPr>
        <b/>
        <u val="single"/>
        <sz val="14"/>
        <rFont val="Times New Roman"/>
        <family val="1"/>
      </rPr>
      <t>XÃ LỘC THUỶ</t>
    </r>
  </si>
  <si>
    <r>
      <t xml:space="preserve">                   </t>
    </r>
    <r>
      <rPr>
        <b/>
        <u val="single"/>
        <sz val="14"/>
        <rFont val="Times New Roman"/>
        <family val="1"/>
      </rPr>
      <t>Độc lập - Tự do - Hạnh ph</t>
    </r>
    <r>
      <rPr>
        <b/>
        <sz val="14"/>
        <rFont val="Times New Roman"/>
        <family val="1"/>
      </rPr>
      <t>úc</t>
    </r>
  </si>
  <si>
    <t>HỌ VÀ TÊN</t>
  </si>
  <si>
    <t>CHỨC VỤ</t>
  </si>
  <si>
    <t>HỆ SỐ</t>
  </si>
  <si>
    <t>KÝ NHẬN</t>
  </si>
  <si>
    <t>01</t>
  </si>
  <si>
    <t>02</t>
  </si>
  <si>
    <t>P Chính trị viên</t>
  </si>
  <si>
    <t>03</t>
  </si>
  <si>
    <t>Xã đội trưởng</t>
  </si>
  <si>
    <t>04</t>
  </si>
  <si>
    <t>05</t>
  </si>
  <si>
    <t>06</t>
  </si>
  <si>
    <t>B.trưởng cơ động</t>
  </si>
  <si>
    <t>07</t>
  </si>
  <si>
    <t>A trưởng</t>
  </si>
  <si>
    <t>08</t>
  </si>
  <si>
    <t>09</t>
  </si>
  <si>
    <t>10</t>
  </si>
  <si>
    <t>Thôn đội trưởng</t>
  </si>
  <si>
    <t>11</t>
  </si>
  <si>
    <t>12</t>
  </si>
  <si>
    <t>13</t>
  </si>
  <si>
    <t>14</t>
  </si>
  <si>
    <t>15</t>
  </si>
  <si>
    <t>16</t>
  </si>
  <si>
    <t>Trần Minh Việt</t>
  </si>
  <si>
    <t>Nguyễn Văn Thứ</t>
  </si>
  <si>
    <t>Nguyễn Văn Sơn</t>
  </si>
  <si>
    <t>Trương Chúc</t>
  </si>
  <si>
    <t>Tôn Thất Vỹ</t>
  </si>
  <si>
    <t>Hoàng Ngọc Bon</t>
  </si>
  <si>
    <t>Trần Bá Tuấn</t>
  </si>
  <si>
    <t>Hà Lượm</t>
  </si>
  <si>
    <t>Nguyễn Thanh</t>
  </si>
  <si>
    <t>Bùi Thế Trung</t>
  </si>
  <si>
    <t>Thu thuế sử dụng đất phi nông nghiệp</t>
  </si>
  <si>
    <t>Đường bê tông thôn Thủy Yên Hạ, xã Lộc Thuỷ (gđ 2)</t>
  </si>
  <si>
    <t xml:space="preserve">Cộng chương 757 </t>
  </si>
  <si>
    <t>Nguyễn Văn Doan</t>
  </si>
  <si>
    <r>
      <t>UỶ BAN NHÂN DÂN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 xml:space="preserve">           CỘNG HÒA XÃ HỘI CHỦ NGHĨA VIỆT NAM</t>
    </r>
  </si>
  <si>
    <t xml:space="preserve">    XÃ LỘC THỦY                                     Độc lập- Tự do- hạnh phúc</t>
  </si>
  <si>
    <t>DANH SÁCH PHỤ CẤP THÔN ĐỘI TRƯỞNG</t>
  </si>
  <si>
    <t>Địa Chỉ</t>
  </si>
  <si>
    <t>Mức PC 1 tháng</t>
  </si>
  <si>
    <t>T.Y. Hạ</t>
  </si>
  <si>
    <t>T.Y Thôn</t>
  </si>
  <si>
    <t>T.Y.Thượng</t>
  </si>
  <si>
    <t xml:space="preserve">             KẾ TOÁN                                                                 CHỦ TỊCH</t>
  </si>
  <si>
    <t xml:space="preserve">       Hà Thị Hồng Lĩnh                                                         Trần Văn Hữu</t>
  </si>
  <si>
    <t>UỶ BAN NHÂN DÂN            CỘNG HÒA XÃ HỘI CHỦ NGHĨA VIỆT NAM</t>
  </si>
  <si>
    <t xml:space="preserve"> BẢNG CHI TRẢ PHỤ CẤP ĐẠI BIỂU HĐND </t>
  </si>
  <si>
    <t>Họ Và Tên</t>
  </si>
  <si>
    <t xml:space="preserve">Mức PC </t>
  </si>
  <si>
    <t>Trừ 1.5 % BH</t>
  </si>
  <si>
    <t>Ký Nhận</t>
  </si>
  <si>
    <t>Nguyễn Văn Nhiên</t>
  </si>
  <si>
    <t>Nguyễn Văn Sáu</t>
  </si>
  <si>
    <t>Trần Quang Huy</t>
  </si>
  <si>
    <t>Nguyễn Văn Hoàng</t>
  </si>
  <si>
    <t>Mai Đình Sắc</t>
  </si>
  <si>
    <t>Trương Viết Du</t>
  </si>
  <si>
    <t>Trịnh Thị Kim Phương</t>
  </si>
  <si>
    <t>Nguyễn Thị Thu Hoa</t>
  </si>
  <si>
    <t>Trần Thị Hiền</t>
  </si>
  <si>
    <t>Nguyễn Đằng</t>
  </si>
  <si>
    <t xml:space="preserve">                                          CHỦ TỊCH</t>
  </si>
  <si>
    <t>Chi chuyên môn nghiệp vụ</t>
  </si>
  <si>
    <t>Chi hoạt động chi hội đặc thù</t>
  </si>
  <si>
    <t>Cộng chương 812 loại 361</t>
  </si>
  <si>
    <t>Cộng chương 811 loại 361</t>
  </si>
  <si>
    <t>Cộng chơng 813 loại 361</t>
  </si>
  <si>
    <t xml:space="preserve">                  Trần Văn Hữu</t>
  </si>
  <si>
    <t xml:space="preserve"> BẢNG CHI TRẢ PHỤ CẤP CẤP ỦY VIÊN  </t>
  </si>
  <si>
    <t xml:space="preserve">Trần Văn Hữu </t>
  </si>
  <si>
    <t xml:space="preserve">Nguyễn Đình Hoài </t>
  </si>
  <si>
    <t xml:space="preserve">Nguyễn Thị Thanh Hằng </t>
  </si>
  <si>
    <t>Đảng Ủy Viên</t>
  </si>
  <si>
    <t xml:space="preserve">                               CHỦ TỊCH</t>
  </si>
  <si>
    <t>Chi công tác nghĩa trang liệt sĩ</t>
  </si>
  <si>
    <t>Cộng chương 860 loại 428</t>
  </si>
  <si>
    <t>Chi hỗ trợ tết hộ nghèo</t>
  </si>
  <si>
    <t>Chi phụ cấp đặc thù</t>
  </si>
  <si>
    <t>Phụ cấp hàng tháng</t>
  </si>
  <si>
    <t>Phụ cấp thâm niên</t>
  </si>
  <si>
    <t>Phụ cấp đặc thù</t>
  </si>
  <si>
    <t>xã đội phó</t>
  </si>
  <si>
    <t>DANH SÁCH PHỤ CẤP THEO LUẬT DÂN QUÂN</t>
  </si>
  <si>
    <t>UỶ BAN NHÂN DÂN</t>
  </si>
  <si>
    <t>Chi phụ cấp BPC, BKT</t>
  </si>
  <si>
    <t>Chi phụ cấp ĐB không hưởng lương</t>
  </si>
  <si>
    <t>CỘNG HOÀ XÃ HỘI CHỦ NGHĨA VIỆT NAM</t>
  </si>
  <si>
    <t>TỔNG CỘNG</t>
  </si>
  <si>
    <t>Độc lập - Tự do - Hạnh phúc</t>
  </si>
  <si>
    <t>NỘI DUNG THU</t>
  </si>
  <si>
    <t>XÃ LỘC THUỶ</t>
  </si>
  <si>
    <t>Số tiền</t>
  </si>
  <si>
    <t>SỐ TIỀN</t>
  </si>
  <si>
    <t>Thu hoa lợi công sản</t>
  </si>
  <si>
    <t>Thu khác ngân sách</t>
  </si>
  <si>
    <t>Thu nhân dân đóng góp</t>
  </si>
  <si>
    <t>KẾ TOÁN</t>
  </si>
  <si>
    <t>Nội dung chi</t>
  </si>
  <si>
    <t>Độc lập- Tự do- Hạnh phúc</t>
  </si>
  <si>
    <t>KINH PHÍ GIAO KHÔNG TỰ CHỦ</t>
  </si>
  <si>
    <t>Nguyễn Xuân Định</t>
  </si>
  <si>
    <t>Hoàng Xuân Mẫu</t>
  </si>
  <si>
    <t>Trần Bá Quốc</t>
  </si>
  <si>
    <t>Nguyễn Văn Tám</t>
  </si>
  <si>
    <t>Mai Thị Thùy Vân</t>
  </si>
  <si>
    <t>Hội khuyết tật</t>
  </si>
  <si>
    <t>Tổng số tiền ghi bằng chữ: (Ba triệu năm trăm mười sáu ngàn không trăm mười tám đồng)</t>
  </si>
  <si>
    <t>Nguyễn Cửu Lỗi</t>
  </si>
  <si>
    <t>Phan Hùng Phi</t>
  </si>
  <si>
    <t>Đinh Bán</t>
  </si>
  <si>
    <t>Lý Thị Thu Hương</t>
  </si>
  <si>
    <t>Văn phòng phẩm</t>
  </si>
  <si>
    <t>Chi phụ cấp Thôn trưởng</t>
  </si>
  <si>
    <t>Cộng chương 860</t>
  </si>
  <si>
    <t>Chi phát thanh truyền hình</t>
  </si>
  <si>
    <t>Thể dục thể thao</t>
  </si>
  <si>
    <t>Chi khác</t>
  </si>
  <si>
    <t>Chi đảm bảo xã hội</t>
  </si>
  <si>
    <t>Chi trả Lương CCB</t>
  </si>
  <si>
    <t>Chi trả BHXH</t>
  </si>
  <si>
    <t xml:space="preserve">Chi trả BHYT </t>
  </si>
  <si>
    <t xml:space="preserve">Chi trả KPCĐ </t>
  </si>
  <si>
    <t>Cộng chương 814 loại 361</t>
  </si>
  <si>
    <t xml:space="preserve"> Chi trả lương MT</t>
  </si>
  <si>
    <t>Cộng chương  820 loại 361</t>
  </si>
  <si>
    <t>Chi trả lương Đảng</t>
  </si>
  <si>
    <t>Chi trả cán bộ bán chuyên trách</t>
  </si>
  <si>
    <t>Cộng chương 819 loại 351</t>
  </si>
  <si>
    <t>Cộng chương 823 loại 139</t>
  </si>
  <si>
    <t>Cộng chương 860 loại 085</t>
  </si>
  <si>
    <t>Chi cán bộ bán chuyên trách</t>
  </si>
  <si>
    <t>Cộng chương 805 loại 161</t>
  </si>
  <si>
    <t>Cộng chương 809 loại 041</t>
  </si>
  <si>
    <t>CỘNG LOẠI 139</t>
  </si>
  <si>
    <t>CỘNG LOẠI 428</t>
  </si>
  <si>
    <t>CỘNG LOẠI 398</t>
  </si>
  <si>
    <t>Cộng chương 860 loại 398</t>
  </si>
  <si>
    <t>Chi khen thưởng</t>
  </si>
  <si>
    <t>Chi tiếp khách</t>
  </si>
  <si>
    <t>Tháng 01 năm 2017</t>
  </si>
  <si>
    <t>Chi hội nghị</t>
  </si>
  <si>
    <t>Phụ cấp phó Nông dân</t>
  </si>
  <si>
    <t>Phụ cấp phó MT</t>
  </si>
  <si>
    <t>Thu phí, lệ phí</t>
  </si>
  <si>
    <t>Chi văn phòng, vật tư</t>
  </si>
  <si>
    <t>Cộng chương 802 loại 341</t>
  </si>
  <si>
    <t>Chi trả lương cán bộ chính quyền</t>
  </si>
  <si>
    <t>Chi trả BHXH (17.5%)</t>
  </si>
  <si>
    <t>Chi trả BHYT (3%)</t>
  </si>
  <si>
    <t>Chi trả Công đoàn (2%)</t>
  </si>
  <si>
    <t>Chi trả tiền điện thoại</t>
  </si>
  <si>
    <t>Chi công tác phí</t>
  </si>
  <si>
    <t>Chi khoán công tác phí</t>
  </si>
  <si>
    <t>Cộng chương 805 loại 341</t>
  </si>
  <si>
    <t>Chi tiền hoạt động khu dân cư</t>
  </si>
  <si>
    <t>Chi phụ cấp Công an viên</t>
  </si>
  <si>
    <t>Chi công tác An Ninh</t>
  </si>
  <si>
    <t>Chi trả phụ cấp LLDQV</t>
  </si>
  <si>
    <t>Chi hoạt động quốc phòng</t>
  </si>
  <si>
    <t>Cộng chương 810 loại 011</t>
  </si>
  <si>
    <t>Chi trả Lương TN</t>
  </si>
  <si>
    <t>Chi trả Lương PN</t>
  </si>
  <si>
    <t>Chi trả Lương Nông dân</t>
  </si>
  <si>
    <t>Thu Bổ sung ngân sách xã</t>
  </si>
  <si>
    <t>Trần Văn Hữu</t>
  </si>
  <si>
    <t>Mã chương</t>
  </si>
  <si>
    <t>Mã ngành KT</t>
  </si>
  <si>
    <t>Mã nội dung KT</t>
  </si>
  <si>
    <t>SỐ DỰ TOÁN</t>
  </si>
  <si>
    <t xml:space="preserve">BHYT Đại biểu HĐND </t>
  </si>
  <si>
    <t>Lương Bí thư chi bộ</t>
  </si>
  <si>
    <t>Phụ cấp Đảng ủy viên</t>
  </si>
  <si>
    <t>Chi khác ngân sách</t>
  </si>
  <si>
    <t>Chi đào tạo cán bộ</t>
  </si>
  <si>
    <t>Phụ cấp cán bộ phó</t>
  </si>
  <si>
    <t>Chi hỗ trợ khác</t>
  </si>
  <si>
    <t>Chi trực cơ quan</t>
  </si>
  <si>
    <t>Chi SC đường điện, cấp thoát nước</t>
  </si>
  <si>
    <t>Chi sữa chữa thiết bị</t>
  </si>
  <si>
    <t>CỘNG LOẠI 341</t>
  </si>
  <si>
    <t>CỘNG LOẠI 161</t>
  </si>
  <si>
    <t>041</t>
  </si>
  <si>
    <t>CỘNG LOẠI 041</t>
  </si>
  <si>
    <t>011</t>
  </si>
  <si>
    <t>CỘNG LOẠI 011</t>
  </si>
  <si>
    <t>Chi SC TB công nghệ thông tin</t>
  </si>
  <si>
    <t>CỘNG LOẠI 351</t>
  </si>
  <si>
    <t>TỔNG THU</t>
  </si>
  <si>
    <t>Nguyễn Văn Ty</t>
  </si>
  <si>
    <t>Nguyễn Quốc Thiện</t>
  </si>
  <si>
    <t>Hội TNXP</t>
  </si>
  <si>
    <t>Phụ cấp y tế thôn bản</t>
  </si>
  <si>
    <t xml:space="preserve">Chi cán bộ hợp đồng </t>
  </si>
  <si>
    <t>Chi PC Đại biểu HĐND</t>
  </si>
  <si>
    <t>Chi trả tiền nước</t>
  </si>
  <si>
    <t>UỶ BAN NHÂN DÂN                               CỘNG HÒA XÃ HỘI CHỦ NGHĨA VIỆT NAM</t>
  </si>
  <si>
    <t xml:space="preserve">    XÃ LỘC THUỶ                                                      Độc lập- Tự do- Hạnh phúc</t>
  </si>
  <si>
    <t>Chi trả tiền điện thắp sáng</t>
  </si>
  <si>
    <t>Chi trả phụ cấp công vụ</t>
  </si>
  <si>
    <t>Chi mua văn phòng phẩm, vật tư</t>
  </si>
  <si>
    <t>Chi văn phòng phẩm, vật tư</t>
  </si>
  <si>
    <t xml:space="preserve"> </t>
  </si>
  <si>
    <t>Chi hoạt động văn hóa thông tin</t>
  </si>
  <si>
    <t>Phụ cấp Mặt trận khu dân cư</t>
  </si>
  <si>
    <t>Chi trả phụ cấp thôn đội trưởng</t>
  </si>
  <si>
    <t>Chi trực bảo vệ</t>
  </si>
  <si>
    <t>Chi phụ cấp cán bộ đầu mối</t>
  </si>
  <si>
    <t>Chi trang phục cán bộ BPCCHC</t>
  </si>
  <si>
    <t>Chi trả tiền nhiên liệu</t>
  </si>
  <si>
    <t>Chi mua công cụ dụng cụ</t>
  </si>
  <si>
    <t>Chi mua vật tư văn phòng khác</t>
  </si>
  <si>
    <t>Chi cước phí bưu chính</t>
  </si>
  <si>
    <t>Chi internet</t>
  </si>
  <si>
    <t>Chi khác hội nghị</t>
  </si>
  <si>
    <t>Chi SC các TB công nghệ thông tin</t>
  </si>
  <si>
    <t>Chi SC tài sản và thiết bị văn phòng</t>
  </si>
  <si>
    <t>Chi phụ cấp thâm niên</t>
  </si>
  <si>
    <t>Chi làm thêm giờ</t>
  </si>
  <si>
    <t>Độc lâp- Tư do- Hạnh phúc</t>
  </si>
  <si>
    <t xml:space="preserve">DANH SÁCH PHỤ CẤP CÁN BỘ THÔN TRƯỞNG </t>
  </si>
  <si>
    <t>TT</t>
  </si>
  <si>
    <t>Họ và tên</t>
  </si>
  <si>
    <t>Chức danh</t>
  </si>
  <si>
    <t>Hệ số lương</t>
  </si>
  <si>
    <t>Phụ cấp chức vụ</t>
  </si>
  <si>
    <t>Phụ cấp TNVK</t>
  </si>
  <si>
    <t>Thành tiền</t>
  </si>
  <si>
    <t>Phụ cấp loại xã</t>
  </si>
  <si>
    <t>Trừ 8.5%BH</t>
  </si>
  <si>
    <t>Thực nhận</t>
  </si>
  <si>
    <t>Ký nhận</t>
  </si>
  <si>
    <t>Thôn trưởng</t>
  </si>
  <si>
    <t>Nguyễn Đức Dũng</t>
  </si>
  <si>
    <t>Phạm Hữu Mầu</t>
  </si>
  <si>
    <t>Nguyễn Quang Minh</t>
  </si>
  <si>
    <t>Nguyễn Văn Tuyên</t>
  </si>
  <si>
    <t>Nguyễn Văn Xán</t>
  </si>
  <si>
    <t>CHỦ TÀI KHOẢN</t>
  </si>
  <si>
    <t>Hà Thị Hồng Lĩnh</t>
  </si>
  <si>
    <t>DANH SÁCH PHỤ CẤP CÁN BỘ  CÔNG AN VIÊN</t>
  </si>
  <si>
    <t>Công an viên</t>
  </si>
  <si>
    <t>Huỳnh Minh Đăng</t>
  </si>
  <si>
    <t>Phạm Hữu Cho</t>
  </si>
  <si>
    <t>Nguyễn Duy Hải</t>
  </si>
  <si>
    <t>Ngô Xuân Lưu</t>
  </si>
  <si>
    <t>Nguyễn Đăng Kỳ</t>
  </si>
  <si>
    <t>Nguyễn Văn Ấn</t>
  </si>
  <si>
    <t>Nguyễn Thành</t>
  </si>
  <si>
    <t xml:space="preserve">DANH SÁCH PHỤ CẤP BÍ THƯ CHI BỘ </t>
  </si>
  <si>
    <t>Phạm Xuân Thư</t>
  </si>
  <si>
    <t>Bí thư chi bộ</t>
  </si>
  <si>
    <t>Nguyễn Minh Thiện</t>
  </si>
  <si>
    <t>Nguyễn Văn Sửu</t>
  </si>
  <si>
    <t>Phan Thanh Khôi</t>
  </si>
  <si>
    <t>Nguyễn Trọng Bảo</t>
  </si>
  <si>
    <t>Bùi Xuân Hùng</t>
  </si>
  <si>
    <t>CỘNG LOẠI 361</t>
  </si>
  <si>
    <t xml:space="preserve">DANH SÁCH PHỤ CẤP CÁN BỘ BÁN CHUYÊN TRÁCH </t>
  </si>
  <si>
    <t>Trừ 1.5%BH</t>
  </si>
  <si>
    <t>Hội CTĐ</t>
  </si>
  <si>
    <t>Phan Liêu</t>
  </si>
  <si>
    <t>Hội NCT</t>
  </si>
  <si>
    <t>Trần Quốc Cao</t>
  </si>
  <si>
    <t>Lê Viết Thu</t>
  </si>
  <si>
    <t>Phó xã đội</t>
  </si>
  <si>
    <t>Lê Quốc</t>
  </si>
  <si>
    <t>Văn thư</t>
  </si>
  <si>
    <t>Nguyễn Minh Thành</t>
  </si>
  <si>
    <t>Xã đội phó</t>
  </si>
  <si>
    <t>Bùi Thanh Ngọc Thanh</t>
  </si>
  <si>
    <t xml:space="preserve">                                        CỘNG HOÀ XÃ HỘI CHỦ NGHĨA VIỆT NAM</t>
  </si>
  <si>
    <r>
      <t xml:space="preserve">                                                            </t>
    </r>
    <r>
      <rPr>
        <b/>
        <u val="single"/>
        <sz val="12"/>
        <rFont val="Times New Roman"/>
        <family val="1"/>
      </rPr>
      <t>Độc lâp- Tư do- Hạnh phúc</t>
    </r>
  </si>
  <si>
    <t>DANH SÁCH PHỤ CẤP TRƯỞNG BAN CÔNG TÁC MẶT TRẬN KHU DÂN CƯ</t>
  </si>
  <si>
    <t>Theo QĐ 23/2012/QĐ-UBND</t>
  </si>
  <si>
    <t>Địa chỉ</t>
  </si>
  <si>
    <t>Phụ cấp
 loại xã</t>
  </si>
  <si>
    <t>Trần Xuân Phúc</t>
  </si>
  <si>
    <t>Nam Phước</t>
  </si>
  <si>
    <t>Nguyễn Văn Búa</t>
  </si>
  <si>
    <t>T.Y Thượng</t>
  </si>
  <si>
    <t>Huỳnh Ngọc Phước</t>
  </si>
  <si>
    <t>Thủy Cam</t>
  </si>
  <si>
    <t>Nguyễn Trọng Hậu</t>
  </si>
  <si>
    <t>T. Y Hạ</t>
  </si>
  <si>
    <t>Nguyễn Văn Thu</t>
  </si>
  <si>
    <t>T. Y Thôn</t>
  </si>
  <si>
    <t>Nguyễn Đình Chiến</t>
  </si>
  <si>
    <t>An Bàng</t>
  </si>
  <si>
    <t>Phạm Hữu Tiến</t>
  </si>
  <si>
    <t>Phú Xuyên</t>
  </si>
  <si>
    <t>Phú Cường</t>
  </si>
  <si>
    <t>Nguyễn Xuân Phước</t>
  </si>
  <si>
    <t>Phước Hưng</t>
  </si>
  <si>
    <t>Hệ số lương cũ</t>
  </si>
  <si>
    <t xml:space="preserve">     ỦY BAN NHÂN DÂN</t>
  </si>
  <si>
    <t>CỘNG HÒA XÃ HỘI CHỦ NGHĨA VIỆT NAM</t>
  </si>
  <si>
    <t>DANH SÁCH PHỤ CẤP CÁC HỘI ĐẶC THÙ</t>
  </si>
  <si>
    <t>Hội CĐMDC</t>
  </si>
  <si>
    <t>Chi phụ cấp hội đặc thù</t>
  </si>
  <si>
    <t>Nguyễn Khoa Dũ</t>
  </si>
  <si>
    <t>Nguyễn Thị Thuỷ</t>
  </si>
  <si>
    <t>Hoàng Ngọc Xê</t>
  </si>
  <si>
    <t>Trần Văn Hưng</t>
  </si>
  <si>
    <t>PCT Hội CCB</t>
  </si>
  <si>
    <t>PCT Hội LHPN</t>
  </si>
  <si>
    <t>PCT Hội ND</t>
  </si>
  <si>
    <t>PCT UBMTTQVN</t>
  </si>
  <si>
    <t>PBT Đoàn TN</t>
  </si>
  <si>
    <t>Nguyễn Xuân Thành</t>
  </si>
  <si>
    <t>VP Đảng Uỷ</t>
  </si>
  <si>
    <t>Tổ chức Đảng</t>
  </si>
  <si>
    <t>Tuyên giáo</t>
  </si>
  <si>
    <t>Nguyễn Đặng</t>
  </si>
  <si>
    <t>CỘNG LOẠI 085</t>
  </si>
  <si>
    <t>085</t>
  </si>
  <si>
    <t>Số TT</t>
  </si>
  <si>
    <t>Tên công trình</t>
  </si>
  <si>
    <t>Ghi chú</t>
  </si>
  <si>
    <t>(Nguồn NS huyện)</t>
  </si>
  <si>
    <t>Nguồn thu quỹ đất</t>
  </si>
  <si>
    <t xml:space="preserve">                    ĐVT:  đồng</t>
  </si>
  <si>
    <t>STT</t>
  </si>
  <si>
    <t>I. KINH PHÍ GIAO TỰ CHỦ</t>
  </si>
  <si>
    <t>Chi hoạt động chuyên môn</t>
  </si>
  <si>
    <t>Cộng chương 805 loại 362</t>
  </si>
  <si>
    <t>CỘNG LOẠI 362</t>
  </si>
  <si>
    <t xml:space="preserve">                                                                                                                </t>
  </si>
  <si>
    <t>Chi PC kiem nhiem</t>
  </si>
  <si>
    <t>Ngô Đức Thành</t>
  </si>
  <si>
    <t>Số tiền ghi bằng chữ: (Ba triệu ba trăm sáu mươi bảy ngàn bốn trăm đồng)</t>
  </si>
  <si>
    <t>Nguyễn Đoài</t>
  </si>
  <si>
    <r>
      <t>Tổng số tiền ghi bằng chữ</t>
    </r>
    <r>
      <rPr>
        <b/>
        <i/>
        <sz val="13"/>
        <rFont val="Times New Roman"/>
        <family val="1"/>
      </rPr>
      <t>: (Sáu triệu bảy trăm lẻ năm ngàn đồng)</t>
    </r>
  </si>
  <si>
    <t xml:space="preserve">Tổng số tiền bằng chữ: (Mười hai triệu không trăm lẻ sáu ngàn đồng) </t>
  </si>
  <si>
    <t>Trần Văn Lượng</t>
  </si>
  <si>
    <r>
      <t>Tổng số tiền ghi bằng chữ</t>
    </r>
    <r>
      <rPr>
        <b/>
        <i/>
        <sz val="12"/>
        <rFont val="Times New Roman"/>
        <family val="1"/>
      </rPr>
      <t>: (Mười ba triệu bốn trăm mười ngàn đồng)</t>
    </r>
  </si>
  <si>
    <r>
      <t>Tổng số tiền ghi bằng chữ</t>
    </r>
    <r>
      <rPr>
        <b/>
        <i/>
        <sz val="12"/>
        <rFont val="Times New Roman"/>
        <family val="1"/>
      </rPr>
      <t>: (Mười hai triệu bốn trăm bốn mươi mốt ngàn năm trăm đồng)</t>
    </r>
  </si>
  <si>
    <t>Nguyễn Văn Sử</t>
  </si>
  <si>
    <t>Trần Thị Lan</t>
  </si>
  <si>
    <t>Tổng số tiền ghi bằng chữ: (Hai mươi hai triệu không trăm sáu mươi sáu ngàn một trăm đồng)</t>
  </si>
  <si>
    <r>
      <t>Tổng số tiền ghi bằng chữ</t>
    </r>
    <r>
      <rPr>
        <b/>
        <i/>
        <sz val="12"/>
        <rFont val="Times New Roman"/>
        <family val="1"/>
      </rPr>
      <t>: (Sáu triệu bảy trăm lẻ năm ngàn đồng)</t>
    </r>
  </si>
  <si>
    <r>
      <t>Tổng số tiền ghi bằng chữ</t>
    </r>
    <r>
      <rPr>
        <b/>
        <i/>
        <sz val="12"/>
        <rFont val="Times New Roman"/>
        <family val="1"/>
      </rPr>
      <t>: (Bốn triệu bốn trăm bảy mươi ngàn đồng)</t>
    </r>
  </si>
  <si>
    <t>DỰ TOÁN CHI NGÂN SÁCH NĂM 2020</t>
  </si>
  <si>
    <r>
      <t xml:space="preserve">Bằng chữ: </t>
    </r>
    <r>
      <rPr>
        <b/>
        <i/>
        <sz val="13"/>
        <rFont val="Times New Roman"/>
        <family val="1"/>
      </rPr>
      <t>( Năm mươi ba triệu bốn trăm ngàn đồng)</t>
    </r>
  </si>
  <si>
    <t>Tổng cộng Kinh phí không tự chủ</t>
  </si>
  <si>
    <t xml:space="preserve">Hà Thị Hồng Lĩnh                       Trần Văn Hữu                   </t>
  </si>
  <si>
    <t>Tháng 01 năm 2020</t>
  </si>
  <si>
    <t>DANH SÁCH CHI TRẢ PHỤ CẤP TRÁCH NHIỆM DQTV THÁNG 1 NĂM 2020</t>
  </si>
  <si>
    <t>Tháng  1 năm 2020</t>
  </si>
  <si>
    <t xml:space="preserve"> DỰ TOÁN THU XDCB NĂM 2020</t>
  </si>
  <si>
    <t xml:space="preserve"> Hà Thị Hồng Lĩnh                     Trần Văn Hữu                              </t>
  </si>
  <si>
    <t xml:space="preserve"> DỰ TOÁN THU NGÂN SÁCH NĂM 2020</t>
  </si>
  <si>
    <r>
      <t>Tổng số tiền ghi bằng chữ</t>
    </r>
    <r>
      <rPr>
        <b/>
        <i/>
        <sz val="12"/>
        <rFont val="Times New Roman"/>
        <family val="1"/>
      </rPr>
      <t>: (Mười hai triệu chín trăm sáu mươi ba ngàn đồng)</t>
    </r>
  </si>
  <si>
    <t xml:space="preserve">                                              Trần Văn Hữu                   </t>
  </si>
  <si>
    <r>
      <t xml:space="preserve">Bằng chữ: </t>
    </r>
    <r>
      <rPr>
        <b/>
        <i/>
        <sz val="13"/>
        <rFont val="Times New Roman"/>
        <family val="1"/>
      </rPr>
      <t>( Ba tỷ tám trăm ba mươi bảy triệu đồng)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</si>
</sst>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#,##0.0000"/>
    <numFmt numFmtId="172" formatCode="#,##0.000"/>
    <numFmt numFmtId="173" formatCode="[$-409]yyyy&quot;年&quot;m&quot;月&quot;d&quot;日&quot;dddd"/>
    <numFmt numFmtId="174" formatCode="m/d;@"/>
    <numFmt numFmtId="175" formatCode="mmm\-yyyy"/>
    <numFmt numFmtId="176" formatCode="_-* #,##0_-;\-* #,##0_-;_-* &quot;-&quot;??_-;_-@_-"/>
  </numFmts>
  <fonts count="6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i/>
      <sz val="14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165" fontId="7" fillId="0" borderId="0" xfId="42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3" fontId="9" fillId="0" borderId="10" xfId="42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165" fontId="9" fillId="0" borderId="10" xfId="42" applyNumberFormat="1" applyFont="1" applyFill="1" applyBorder="1" applyAlignment="1">
      <alignment/>
    </xf>
    <xf numFmtId="165" fontId="9" fillId="0" borderId="10" xfId="0" applyNumberFormat="1" applyFont="1" applyBorder="1" applyAlignment="1">
      <alignment horizontal="center" vertical="center" wrapText="1"/>
    </xf>
    <xf numFmtId="165" fontId="10" fillId="0" borderId="10" xfId="42" applyNumberFormat="1" applyFont="1" applyBorder="1" applyAlignment="1">
      <alignment/>
    </xf>
    <xf numFmtId="165" fontId="9" fillId="0" borderId="10" xfId="42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171" fontId="6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vertical="top" wrapText="1"/>
    </xf>
    <xf numFmtId="3" fontId="9" fillId="0" borderId="1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165" fontId="10" fillId="0" borderId="10" xfId="42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3" fontId="4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" fontId="1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3" fontId="18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center"/>
    </xf>
    <xf numFmtId="3" fontId="4" fillId="0" borderId="10" xfId="42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165" fontId="10" fillId="0" borderId="10" xfId="42" applyNumberFormat="1" applyFont="1" applyFill="1" applyBorder="1" applyAlignment="1">
      <alignment horizontal="right"/>
    </xf>
    <xf numFmtId="172" fontId="6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976</xdr:row>
      <xdr:rowOff>0</xdr:rowOff>
    </xdr:from>
    <xdr:to>
      <xdr:col>1</xdr:col>
      <xdr:colOff>504825</xdr:colOff>
      <xdr:row>976</xdr:row>
      <xdr:rowOff>0</xdr:rowOff>
    </xdr:to>
    <xdr:sp>
      <xdr:nvSpPr>
        <xdr:cNvPr id="1" name="Line 24"/>
        <xdr:cNvSpPr>
          <a:spLocks/>
        </xdr:cNvSpPr>
      </xdr:nvSpPr>
      <xdr:spPr>
        <a:xfrm>
          <a:off x="409575" y="1730597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1066800</xdr:colOff>
      <xdr:row>976</xdr:row>
      <xdr:rowOff>0</xdr:rowOff>
    </xdr:from>
    <xdr:to>
      <xdr:col>4</xdr:col>
      <xdr:colOff>152400</xdr:colOff>
      <xdr:row>976</xdr:row>
      <xdr:rowOff>0</xdr:rowOff>
    </xdr:to>
    <xdr:sp>
      <xdr:nvSpPr>
        <xdr:cNvPr id="2" name="Line 25"/>
        <xdr:cNvSpPr>
          <a:spLocks/>
        </xdr:cNvSpPr>
      </xdr:nvSpPr>
      <xdr:spPr>
        <a:xfrm>
          <a:off x="3390900" y="17305972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1035</xdr:row>
      <xdr:rowOff>161925</xdr:rowOff>
    </xdr:from>
    <xdr:to>
      <xdr:col>1</xdr:col>
      <xdr:colOff>533400</xdr:colOff>
      <xdr:row>1035</xdr:row>
      <xdr:rowOff>161925</xdr:rowOff>
    </xdr:to>
    <xdr:sp>
      <xdr:nvSpPr>
        <xdr:cNvPr id="3" name="Line 99"/>
        <xdr:cNvSpPr>
          <a:spLocks/>
        </xdr:cNvSpPr>
      </xdr:nvSpPr>
      <xdr:spPr>
        <a:xfrm>
          <a:off x="409575" y="1827752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1035</xdr:row>
      <xdr:rowOff>161925</xdr:rowOff>
    </xdr:from>
    <xdr:to>
      <xdr:col>4</xdr:col>
      <xdr:colOff>0</xdr:colOff>
      <xdr:row>1035</xdr:row>
      <xdr:rowOff>161925</xdr:rowOff>
    </xdr:to>
    <xdr:sp>
      <xdr:nvSpPr>
        <xdr:cNvPr id="4" name="Line 100"/>
        <xdr:cNvSpPr>
          <a:spLocks/>
        </xdr:cNvSpPr>
      </xdr:nvSpPr>
      <xdr:spPr>
        <a:xfrm>
          <a:off x="3438525" y="182775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1035</xdr:row>
      <xdr:rowOff>161925</xdr:rowOff>
    </xdr:from>
    <xdr:to>
      <xdr:col>1</xdr:col>
      <xdr:colOff>533400</xdr:colOff>
      <xdr:row>1035</xdr:row>
      <xdr:rowOff>161925</xdr:rowOff>
    </xdr:to>
    <xdr:sp>
      <xdr:nvSpPr>
        <xdr:cNvPr id="5" name="Line 101"/>
        <xdr:cNvSpPr>
          <a:spLocks/>
        </xdr:cNvSpPr>
      </xdr:nvSpPr>
      <xdr:spPr>
        <a:xfrm>
          <a:off x="409575" y="1827752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1114425</xdr:colOff>
      <xdr:row>1035</xdr:row>
      <xdr:rowOff>161925</xdr:rowOff>
    </xdr:from>
    <xdr:to>
      <xdr:col>4</xdr:col>
      <xdr:colOff>0</xdr:colOff>
      <xdr:row>1035</xdr:row>
      <xdr:rowOff>161925</xdr:rowOff>
    </xdr:to>
    <xdr:sp>
      <xdr:nvSpPr>
        <xdr:cNvPr id="6" name="Line 102"/>
        <xdr:cNvSpPr>
          <a:spLocks/>
        </xdr:cNvSpPr>
      </xdr:nvSpPr>
      <xdr:spPr>
        <a:xfrm>
          <a:off x="3438525" y="1827752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200025</xdr:rowOff>
    </xdr:from>
    <xdr:to>
      <xdr:col>1</xdr:col>
      <xdr:colOff>762000</xdr:colOff>
      <xdr:row>1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33375" y="4095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1143000</xdr:colOff>
      <xdr:row>2</xdr:row>
      <xdr:rowOff>9525</xdr:rowOff>
    </xdr:from>
    <xdr:to>
      <xdr:col>3</xdr:col>
      <xdr:colOff>1143000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3514725" y="428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76</xdr:row>
      <xdr:rowOff>76200</xdr:rowOff>
    </xdr:from>
    <xdr:ext cx="66675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1857375" y="162496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1</xdr:col>
      <xdr:colOff>828675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61950" y="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3543300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933825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695325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861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228600</xdr:rowOff>
    </xdr:from>
    <xdr:to>
      <xdr:col>1</xdr:col>
      <xdr:colOff>695325</xdr:colOff>
      <xdr:row>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333375" y="9525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4</xdr:row>
      <xdr:rowOff>228600</xdr:rowOff>
    </xdr:from>
    <xdr:to>
      <xdr:col>4</xdr:col>
      <xdr:colOff>9525</xdr:colOff>
      <xdr:row>4</xdr:row>
      <xdr:rowOff>228600</xdr:rowOff>
    </xdr:to>
    <xdr:sp>
      <xdr:nvSpPr>
        <xdr:cNvPr id="4" name="Line 4"/>
        <xdr:cNvSpPr>
          <a:spLocks/>
        </xdr:cNvSpPr>
      </xdr:nvSpPr>
      <xdr:spPr>
        <a:xfrm>
          <a:off x="3086100" y="9525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01"/>
  <sheetViews>
    <sheetView tabSelected="1" view="pageBreakPreview" zoomScaleSheetLayoutView="100" zoomScalePageLayoutView="0" workbookViewId="0" topLeftCell="A31">
      <selection activeCell="E55" sqref="E55"/>
    </sheetView>
  </sheetViews>
  <sheetFormatPr defaultColWidth="9.140625" defaultRowHeight="12.75"/>
  <cols>
    <col min="1" max="1" width="10.57421875" style="1" customWidth="1"/>
    <col min="2" max="2" width="14.421875" style="1" customWidth="1"/>
    <col min="3" max="3" width="9.8515625" style="1" customWidth="1"/>
    <col min="4" max="4" width="37.28125" style="1" customWidth="1"/>
    <col min="5" max="5" width="18.8515625" style="1" customWidth="1"/>
    <col min="6" max="6" width="13.28125" style="1" customWidth="1"/>
    <col min="7" max="7" width="18.140625" style="1" customWidth="1"/>
    <col min="8" max="16384" width="9.140625" style="1" customWidth="1"/>
  </cols>
  <sheetData>
    <row r="1" spans="1:5" ht="18.75">
      <c r="A1" s="126" t="s">
        <v>134</v>
      </c>
      <c r="B1" s="126"/>
      <c r="C1" s="9"/>
      <c r="D1" s="126" t="s">
        <v>346</v>
      </c>
      <c r="E1" s="126"/>
    </row>
    <row r="2" spans="1:5" ht="18.75">
      <c r="A2" s="126" t="s">
        <v>141</v>
      </c>
      <c r="B2" s="126"/>
      <c r="C2" s="9"/>
      <c r="D2" s="126" t="s">
        <v>149</v>
      </c>
      <c r="E2" s="126"/>
    </row>
    <row r="3" spans="1:5" ht="18.75">
      <c r="A3" s="9"/>
      <c r="B3" s="9"/>
      <c r="C3" s="9"/>
      <c r="D3" s="9"/>
      <c r="E3" s="9"/>
    </row>
    <row r="4" spans="1:5" ht="20.25">
      <c r="A4" s="121" t="s">
        <v>392</v>
      </c>
      <c r="B4" s="121"/>
      <c r="C4" s="121"/>
      <c r="D4" s="121"/>
      <c r="E4" s="121"/>
    </row>
    <row r="5" spans="1:5" ht="18.75">
      <c r="A5" s="132"/>
      <c r="B5" s="132"/>
      <c r="C5" s="132"/>
      <c r="D5" s="132"/>
      <c r="E5" s="132"/>
    </row>
    <row r="6" spans="1:5" ht="31.5">
      <c r="A6" s="26" t="s">
        <v>216</v>
      </c>
      <c r="B6" s="26" t="s">
        <v>217</v>
      </c>
      <c r="C6" s="26" t="s">
        <v>218</v>
      </c>
      <c r="D6" s="42" t="s">
        <v>148</v>
      </c>
      <c r="E6" s="42" t="s">
        <v>142</v>
      </c>
    </row>
    <row r="7" spans="1:5" ht="18.75">
      <c r="A7" s="129" t="s">
        <v>373</v>
      </c>
      <c r="B7" s="130"/>
      <c r="C7" s="131"/>
      <c r="D7" s="42"/>
      <c r="E7" s="119">
        <f>E8+E60+E64+E73+E84+E98+E200+E224+E230+E233+E236</f>
        <v>3837000000</v>
      </c>
    </row>
    <row r="8" spans="1:6" ht="16.5">
      <c r="A8" s="127" t="s">
        <v>230</v>
      </c>
      <c r="B8" s="127"/>
      <c r="C8" s="127"/>
      <c r="D8" s="127"/>
      <c r="E8" s="43">
        <f>SUM(E19+E59)</f>
        <v>1959789188</v>
      </c>
      <c r="F8" s="116"/>
    </row>
    <row r="9" spans="1:7" ht="16.5">
      <c r="A9" s="81">
        <v>802</v>
      </c>
      <c r="B9" s="81">
        <v>341</v>
      </c>
      <c r="C9" s="81">
        <v>6111</v>
      </c>
      <c r="D9" s="45" t="s">
        <v>244</v>
      </c>
      <c r="E9" s="41">
        <f>28*0.3*1490000*12</f>
        <v>150192000</v>
      </c>
      <c r="G9" s="116">
        <f>E9+E10+E12+E222</f>
        <v>245000000</v>
      </c>
    </row>
    <row r="10" spans="1:5" ht="16.5">
      <c r="A10" s="81">
        <v>802</v>
      </c>
      <c r="B10" s="81">
        <v>341</v>
      </c>
      <c r="C10" s="81">
        <v>6149</v>
      </c>
      <c r="D10" s="45" t="s">
        <v>135</v>
      </c>
      <c r="E10" s="41">
        <f>0.6*1490000*12</f>
        <v>10728000</v>
      </c>
    </row>
    <row r="11" spans="1:5" ht="16.5">
      <c r="A11" s="81">
        <v>802</v>
      </c>
      <c r="B11" s="81">
        <v>341</v>
      </c>
      <c r="C11" s="81">
        <v>6149</v>
      </c>
      <c r="D11" s="45" t="s">
        <v>136</v>
      </c>
      <c r="E11" s="41">
        <v>8340000</v>
      </c>
    </row>
    <row r="12" spans="1:5" ht="16.5">
      <c r="A12" s="81">
        <v>802</v>
      </c>
      <c r="B12" s="81">
        <v>341</v>
      </c>
      <c r="C12" s="81">
        <v>6302</v>
      </c>
      <c r="D12" s="45" t="s">
        <v>220</v>
      </c>
      <c r="E12" s="41">
        <v>3620000</v>
      </c>
    </row>
    <row r="13" spans="1:5" ht="16.5">
      <c r="A13" s="81">
        <v>802</v>
      </c>
      <c r="B13" s="81">
        <v>341</v>
      </c>
      <c r="C13" s="81">
        <v>6201</v>
      </c>
      <c r="D13" s="45" t="s">
        <v>188</v>
      </c>
      <c r="E13" s="41">
        <v>2000000</v>
      </c>
    </row>
    <row r="14" spans="1:5" ht="16.5">
      <c r="A14" s="81">
        <v>802</v>
      </c>
      <c r="B14" s="81">
        <v>341</v>
      </c>
      <c r="C14" s="81">
        <v>6299</v>
      </c>
      <c r="D14" s="45" t="s">
        <v>5</v>
      </c>
      <c r="E14" s="41">
        <v>1000000</v>
      </c>
    </row>
    <row r="15" spans="1:5" ht="16.5">
      <c r="A15" s="81">
        <v>802</v>
      </c>
      <c r="B15" s="81">
        <v>341</v>
      </c>
      <c r="C15" s="81">
        <v>6551</v>
      </c>
      <c r="D15" s="45" t="s">
        <v>195</v>
      </c>
      <c r="E15" s="41">
        <v>5000000</v>
      </c>
    </row>
    <row r="16" spans="1:5" ht="16.5">
      <c r="A16" s="81">
        <v>802</v>
      </c>
      <c r="B16" s="81">
        <v>341</v>
      </c>
      <c r="C16" s="81">
        <v>6658</v>
      </c>
      <c r="D16" s="45" t="s">
        <v>191</v>
      </c>
      <c r="E16" s="41">
        <v>13000000</v>
      </c>
    </row>
    <row r="17" spans="1:5" ht="16.5">
      <c r="A17" s="81">
        <v>802</v>
      </c>
      <c r="B17" s="81">
        <v>341</v>
      </c>
      <c r="C17" s="81">
        <v>7049</v>
      </c>
      <c r="D17" s="45" t="s">
        <v>113</v>
      </c>
      <c r="E17" s="41">
        <v>16000000</v>
      </c>
    </row>
    <row r="18" spans="1:5" ht="16.5">
      <c r="A18" s="81">
        <v>802</v>
      </c>
      <c r="B18" s="81">
        <v>341</v>
      </c>
      <c r="C18" s="81">
        <v>7761</v>
      </c>
      <c r="D18" s="45" t="s">
        <v>189</v>
      </c>
      <c r="E18" s="41">
        <v>8000000</v>
      </c>
    </row>
    <row r="19" spans="1:7" ht="16.5">
      <c r="A19" s="81"/>
      <c r="B19" s="81"/>
      <c r="C19" s="81"/>
      <c r="D19" s="48" t="s">
        <v>196</v>
      </c>
      <c r="E19" s="43">
        <f>SUM(E9:E18)</f>
        <v>217880000</v>
      </c>
      <c r="F19" s="116"/>
      <c r="G19" s="116"/>
    </row>
    <row r="20" spans="1:7" ht="16.5">
      <c r="A20" s="81">
        <v>805</v>
      </c>
      <c r="B20" s="81">
        <v>341</v>
      </c>
      <c r="C20" s="81">
        <v>6001</v>
      </c>
      <c r="D20" s="45" t="s">
        <v>197</v>
      </c>
      <c r="E20" s="44">
        <f>(38)*1490000*12</f>
        <v>679440000</v>
      </c>
      <c r="F20" s="116"/>
      <c r="G20" s="116"/>
    </row>
    <row r="21" spans="1:5" ht="16.5">
      <c r="A21" s="81">
        <v>805</v>
      </c>
      <c r="B21" s="81">
        <v>341</v>
      </c>
      <c r="C21" s="81">
        <v>6101</v>
      </c>
      <c r="D21" s="45" t="s">
        <v>4</v>
      </c>
      <c r="E21" s="44">
        <f>0.85*1490000*12</f>
        <v>15198000</v>
      </c>
    </row>
    <row r="22" spans="1:5" ht="16.5">
      <c r="A22" s="81">
        <v>805</v>
      </c>
      <c r="B22" s="81">
        <v>341</v>
      </c>
      <c r="C22" s="81">
        <v>6113</v>
      </c>
      <c r="D22" s="45" t="s">
        <v>24</v>
      </c>
      <c r="E22" s="44">
        <f>0.2*1490000*12</f>
        <v>3576000</v>
      </c>
    </row>
    <row r="23" spans="1:5" ht="16.5">
      <c r="A23" s="81">
        <v>805</v>
      </c>
      <c r="B23" s="81">
        <v>341</v>
      </c>
      <c r="C23" s="81">
        <v>6124</v>
      </c>
      <c r="D23" s="45" t="s">
        <v>249</v>
      </c>
      <c r="E23" s="44">
        <f>(E20+E21)*25%</f>
        <v>173659500</v>
      </c>
    </row>
    <row r="24" spans="1:5" ht="16.5">
      <c r="A24" s="81">
        <v>805</v>
      </c>
      <c r="B24" s="81">
        <v>341</v>
      </c>
      <c r="C24" s="81">
        <v>6149</v>
      </c>
      <c r="D24" s="45" t="s">
        <v>8</v>
      </c>
      <c r="E24" s="44">
        <f>1200000*12</f>
        <v>14400000</v>
      </c>
    </row>
    <row r="25" spans="1:5" ht="16.5">
      <c r="A25" s="81">
        <v>805</v>
      </c>
      <c r="B25" s="81">
        <v>341</v>
      </c>
      <c r="C25" s="81">
        <v>6149</v>
      </c>
      <c r="D25" s="45" t="s">
        <v>257</v>
      </c>
      <c r="E25" s="44">
        <v>3960000</v>
      </c>
    </row>
    <row r="26" spans="1:5" ht="16.5">
      <c r="A26" s="81">
        <v>805</v>
      </c>
      <c r="B26" s="81">
        <v>341</v>
      </c>
      <c r="C26" s="81">
        <v>6301</v>
      </c>
      <c r="D26" s="45" t="s">
        <v>198</v>
      </c>
      <c r="E26" s="44">
        <f>((E20+E21)*17.5%)+((4)*1490000*14%*12)</f>
        <v>131574449.99999999</v>
      </c>
    </row>
    <row r="27" spans="1:5" ht="16.5">
      <c r="A27" s="81">
        <v>805</v>
      </c>
      <c r="B27" s="81">
        <v>341</v>
      </c>
      <c r="C27" s="81">
        <v>6302</v>
      </c>
      <c r="D27" s="45" t="s">
        <v>199</v>
      </c>
      <c r="E27" s="44">
        <f>((E20+E21)*3%)+((4)*1490000*3%*12)</f>
        <v>22984740</v>
      </c>
    </row>
    <row r="28" spans="1:5" ht="16.5">
      <c r="A28" s="81">
        <v>805</v>
      </c>
      <c r="B28" s="81">
        <v>341</v>
      </c>
      <c r="C28" s="81">
        <v>6303</v>
      </c>
      <c r="D28" s="45" t="s">
        <v>200</v>
      </c>
      <c r="E28" s="44">
        <f>((E20+E21)+(4*1490000*12))*2%</f>
        <v>15323160</v>
      </c>
    </row>
    <row r="29" spans="1:5" ht="16.5">
      <c r="A29" s="81">
        <v>805</v>
      </c>
      <c r="B29" s="81">
        <v>341</v>
      </c>
      <c r="C29" s="81">
        <v>6353</v>
      </c>
      <c r="D29" s="45" t="s">
        <v>181</v>
      </c>
      <c r="E29" s="44">
        <f>6.9*1490000*12</f>
        <v>123372000</v>
      </c>
    </row>
    <row r="30" spans="1:5" ht="16.5">
      <c r="A30" s="81">
        <v>805</v>
      </c>
      <c r="B30" s="81">
        <v>341</v>
      </c>
      <c r="C30" s="81">
        <v>7049</v>
      </c>
      <c r="D30" s="45" t="s">
        <v>243</v>
      </c>
      <c r="E30" s="44">
        <f>12*1490000</f>
        <v>17880000</v>
      </c>
    </row>
    <row r="31" spans="1:5" ht="16.5">
      <c r="A31" s="81">
        <v>805</v>
      </c>
      <c r="B31" s="81">
        <v>341</v>
      </c>
      <c r="C31" s="81">
        <v>6353</v>
      </c>
      <c r="D31" s="47" t="s">
        <v>163</v>
      </c>
      <c r="E31" s="44">
        <f>9*1490000*12</f>
        <v>160920000</v>
      </c>
    </row>
    <row r="32" spans="1:5" ht="16.5">
      <c r="A32" s="81">
        <v>805</v>
      </c>
      <c r="B32" s="81">
        <v>341</v>
      </c>
      <c r="C32" s="81">
        <v>6449</v>
      </c>
      <c r="D32" s="45" t="s">
        <v>227</v>
      </c>
      <c r="E32" s="44">
        <v>10000000</v>
      </c>
    </row>
    <row r="33" spans="1:5" ht="16.5">
      <c r="A33" s="81">
        <v>805</v>
      </c>
      <c r="B33" s="81">
        <v>341</v>
      </c>
      <c r="C33" s="81">
        <v>6105</v>
      </c>
      <c r="D33" s="45" t="s">
        <v>268</v>
      </c>
      <c r="E33" s="44">
        <f>20000000-6680000-1329772</f>
        <v>11990228</v>
      </c>
    </row>
    <row r="34" spans="1:5" ht="16.5">
      <c r="A34" s="81">
        <v>805</v>
      </c>
      <c r="B34" s="81">
        <v>341</v>
      </c>
      <c r="C34" s="81">
        <v>6201</v>
      </c>
      <c r="D34" s="45" t="s">
        <v>188</v>
      </c>
      <c r="E34" s="44">
        <v>4000000</v>
      </c>
    </row>
    <row r="35" spans="1:5" ht="16.5">
      <c r="A35" s="81">
        <v>805</v>
      </c>
      <c r="B35" s="81">
        <v>341</v>
      </c>
      <c r="C35" s="81">
        <v>6299</v>
      </c>
      <c r="D35" s="45" t="s">
        <v>28</v>
      </c>
      <c r="E35" s="44">
        <v>6000000</v>
      </c>
    </row>
    <row r="36" spans="1:5" ht="16.5">
      <c r="A36" s="81">
        <v>805</v>
      </c>
      <c r="B36" s="81">
        <v>341</v>
      </c>
      <c r="C36" s="39">
        <v>6501</v>
      </c>
      <c r="D36" s="40" t="s">
        <v>248</v>
      </c>
      <c r="E36" s="41">
        <v>13200000</v>
      </c>
    </row>
    <row r="37" spans="1:5" ht="16.5">
      <c r="A37" s="81">
        <v>805</v>
      </c>
      <c r="B37" s="81">
        <v>341</v>
      </c>
      <c r="C37" s="39">
        <v>6502</v>
      </c>
      <c r="D37" s="40" t="s">
        <v>245</v>
      </c>
      <c r="E37" s="41">
        <v>10000000</v>
      </c>
    </row>
    <row r="38" spans="1:5" ht="16.5">
      <c r="A38" s="81">
        <v>805</v>
      </c>
      <c r="B38" s="81">
        <v>341</v>
      </c>
      <c r="C38" s="39">
        <v>6503</v>
      </c>
      <c r="D38" s="40" t="s">
        <v>259</v>
      </c>
      <c r="E38" s="41">
        <v>10000000</v>
      </c>
    </row>
    <row r="39" spans="1:5" ht="16.5">
      <c r="A39" s="81">
        <v>805</v>
      </c>
      <c r="B39" s="81">
        <v>341</v>
      </c>
      <c r="C39" s="81">
        <v>6551</v>
      </c>
      <c r="D39" s="45" t="s">
        <v>250</v>
      </c>
      <c r="E39" s="44">
        <v>39500000</v>
      </c>
    </row>
    <row r="40" spans="1:5" ht="16.5">
      <c r="A40" s="81">
        <v>805</v>
      </c>
      <c r="B40" s="81">
        <v>341</v>
      </c>
      <c r="C40" s="81">
        <v>6552</v>
      </c>
      <c r="D40" s="45" t="s">
        <v>260</v>
      </c>
      <c r="E40" s="44">
        <v>10000000</v>
      </c>
    </row>
    <row r="41" spans="1:5" ht="16.5">
      <c r="A41" s="81">
        <v>805</v>
      </c>
      <c r="B41" s="81">
        <v>341</v>
      </c>
      <c r="C41" s="81">
        <v>6599</v>
      </c>
      <c r="D41" s="45" t="s">
        <v>261</v>
      </c>
      <c r="E41" s="44">
        <v>10000000</v>
      </c>
    </row>
    <row r="42" spans="1:5" ht="16.5">
      <c r="A42" s="81">
        <v>805</v>
      </c>
      <c r="B42" s="81">
        <v>341</v>
      </c>
      <c r="C42" s="81">
        <v>6601</v>
      </c>
      <c r="D42" s="45" t="s">
        <v>201</v>
      </c>
      <c r="E42" s="44">
        <v>2400000</v>
      </c>
    </row>
    <row r="43" spans="1:5" ht="16.5">
      <c r="A43" s="81">
        <v>805</v>
      </c>
      <c r="B43" s="81">
        <v>341</v>
      </c>
      <c r="C43" s="81">
        <v>6603</v>
      </c>
      <c r="D43" s="45" t="s">
        <v>262</v>
      </c>
      <c r="E43" s="44">
        <v>600000</v>
      </c>
    </row>
    <row r="44" spans="1:5" ht="16.5">
      <c r="A44" s="81">
        <v>805</v>
      </c>
      <c r="B44" s="81">
        <v>341</v>
      </c>
      <c r="C44" s="81">
        <v>6605</v>
      </c>
      <c r="D44" s="45" t="s">
        <v>263</v>
      </c>
      <c r="E44" s="44">
        <f>192500*12</f>
        <v>2310000</v>
      </c>
    </row>
    <row r="45" spans="1:5" ht="16.5">
      <c r="A45" s="81">
        <v>805</v>
      </c>
      <c r="B45" s="81">
        <v>341</v>
      </c>
      <c r="C45" s="81">
        <v>6658</v>
      </c>
      <c r="D45" s="45" t="s">
        <v>191</v>
      </c>
      <c r="E45" s="44">
        <v>15000000</v>
      </c>
    </row>
    <row r="46" spans="1:5" ht="16.5">
      <c r="A46" s="81">
        <v>805</v>
      </c>
      <c r="B46" s="81">
        <v>341</v>
      </c>
      <c r="C46" s="81">
        <v>6699</v>
      </c>
      <c r="D46" s="45" t="s">
        <v>264</v>
      </c>
      <c r="E46" s="44">
        <v>15000000</v>
      </c>
    </row>
    <row r="47" spans="1:5" ht="16.5">
      <c r="A47" s="81">
        <v>805</v>
      </c>
      <c r="B47" s="81">
        <v>341</v>
      </c>
      <c r="C47" s="81">
        <v>6702</v>
      </c>
      <c r="D47" s="45" t="s">
        <v>202</v>
      </c>
      <c r="E47" s="44">
        <v>2080000</v>
      </c>
    </row>
    <row r="48" spans="1:5" ht="16.5">
      <c r="A48" s="81">
        <v>805</v>
      </c>
      <c r="B48" s="81">
        <v>341</v>
      </c>
      <c r="C48" s="81">
        <v>6704</v>
      </c>
      <c r="D48" s="45" t="s">
        <v>203</v>
      </c>
      <c r="E48" s="44">
        <f>(8*150000+8*120000)*12</f>
        <v>25920000</v>
      </c>
    </row>
    <row r="49" spans="1:5" ht="16.5">
      <c r="A49" s="81">
        <v>805</v>
      </c>
      <c r="B49" s="81">
        <v>341</v>
      </c>
      <c r="C49" s="81">
        <v>6751</v>
      </c>
      <c r="D49" s="45" t="s">
        <v>6</v>
      </c>
      <c r="E49" s="44">
        <v>6000000</v>
      </c>
    </row>
    <row r="50" spans="1:5" ht="16.5">
      <c r="A50" s="81">
        <v>805</v>
      </c>
      <c r="B50" s="81">
        <v>341</v>
      </c>
      <c r="C50" s="81">
        <v>6912</v>
      </c>
      <c r="D50" s="45" t="s">
        <v>265</v>
      </c>
      <c r="E50" s="44">
        <v>20000000</v>
      </c>
    </row>
    <row r="51" spans="1:5" ht="16.5">
      <c r="A51" s="81">
        <v>805</v>
      </c>
      <c r="B51" s="81">
        <v>341</v>
      </c>
      <c r="C51" s="81">
        <v>6913</v>
      </c>
      <c r="D51" s="45" t="s">
        <v>266</v>
      </c>
      <c r="E51" s="44">
        <v>20000000</v>
      </c>
    </row>
    <row r="52" spans="1:5" ht="16.5">
      <c r="A52" s="81">
        <v>805</v>
      </c>
      <c r="B52" s="81">
        <v>341</v>
      </c>
      <c r="C52" s="81">
        <v>6921</v>
      </c>
      <c r="D52" s="45" t="s">
        <v>228</v>
      </c>
      <c r="E52" s="44">
        <v>4140000</v>
      </c>
    </row>
    <row r="53" spans="1:5" ht="16.5">
      <c r="A53" s="81">
        <v>805</v>
      </c>
      <c r="B53" s="81">
        <v>341</v>
      </c>
      <c r="C53" s="81">
        <v>6999</v>
      </c>
      <c r="D53" s="45" t="s">
        <v>31</v>
      </c>
      <c r="E53" s="44">
        <v>23000000</v>
      </c>
    </row>
    <row r="54" spans="1:5" ht="16.5">
      <c r="A54" s="81">
        <v>805</v>
      </c>
      <c r="B54" s="81">
        <v>341</v>
      </c>
      <c r="C54" s="81">
        <v>7004</v>
      </c>
      <c r="D54" s="45" t="s">
        <v>258</v>
      </c>
      <c r="E54" s="44">
        <v>6000000</v>
      </c>
    </row>
    <row r="55" spans="1:5" ht="16.5">
      <c r="A55" s="81">
        <v>805</v>
      </c>
      <c r="B55" s="81">
        <v>341</v>
      </c>
      <c r="C55" s="81">
        <v>7049</v>
      </c>
      <c r="D55" s="45" t="s">
        <v>113</v>
      </c>
      <c r="E55" s="44">
        <f>37000000-4860000+8000000</f>
        <v>40140000</v>
      </c>
    </row>
    <row r="56" spans="1:5" ht="16.5">
      <c r="A56" s="81">
        <v>805</v>
      </c>
      <c r="B56" s="81">
        <v>341</v>
      </c>
      <c r="C56" s="81">
        <v>7049</v>
      </c>
      <c r="D56" s="45" t="s">
        <v>7</v>
      </c>
      <c r="E56" s="44">
        <v>2250000</v>
      </c>
    </row>
    <row r="57" spans="1:5" ht="16.5">
      <c r="A57" s="81">
        <v>805</v>
      </c>
      <c r="B57" s="81">
        <v>341</v>
      </c>
      <c r="C57" s="81">
        <v>7799</v>
      </c>
      <c r="D57" s="45" t="s">
        <v>167</v>
      </c>
      <c r="E57" s="44">
        <f>20091110</f>
        <v>20091110</v>
      </c>
    </row>
    <row r="58" spans="1:5" ht="16.5">
      <c r="A58" s="81">
        <v>805</v>
      </c>
      <c r="B58" s="81">
        <v>341</v>
      </c>
      <c r="C58" s="81">
        <v>6404</v>
      </c>
      <c r="D58" s="45" t="s">
        <v>3</v>
      </c>
      <c r="E58" s="44">
        <v>50000000</v>
      </c>
    </row>
    <row r="59" spans="1:5" ht="18.75">
      <c r="A59" s="25"/>
      <c r="B59" s="25"/>
      <c r="C59" s="25"/>
      <c r="D59" s="48" t="s">
        <v>204</v>
      </c>
      <c r="E59" s="46">
        <f>SUM(E20:E58)</f>
        <v>1741909188</v>
      </c>
    </row>
    <row r="60" spans="1:5" ht="16.5">
      <c r="A60" s="127" t="s">
        <v>376</v>
      </c>
      <c r="B60" s="127"/>
      <c r="C60" s="127"/>
      <c r="D60" s="127"/>
      <c r="E60" s="46">
        <f>SUM(E63)</f>
        <v>93640000</v>
      </c>
    </row>
    <row r="61" spans="1:5" ht="16.5">
      <c r="A61" s="81">
        <v>860</v>
      </c>
      <c r="B61" s="81">
        <v>362</v>
      </c>
      <c r="C61" s="81">
        <v>6449</v>
      </c>
      <c r="D61" s="45" t="s">
        <v>349</v>
      </c>
      <c r="E61" s="44">
        <f>1*3*1490000*12</f>
        <v>53640000</v>
      </c>
    </row>
    <row r="62" spans="1:5" ht="16.5">
      <c r="A62" s="105">
        <v>860</v>
      </c>
      <c r="B62" s="105">
        <v>362</v>
      </c>
      <c r="C62" s="105">
        <v>7049</v>
      </c>
      <c r="D62" s="47" t="s">
        <v>374</v>
      </c>
      <c r="E62" s="44">
        <v>40000000</v>
      </c>
    </row>
    <row r="63" spans="1:5" ht="16.5">
      <c r="A63" s="105"/>
      <c r="B63" s="105"/>
      <c r="C63" s="105"/>
      <c r="D63" s="120" t="s">
        <v>375</v>
      </c>
      <c r="E63" s="46">
        <f>SUM(E61:E62)</f>
        <v>93640000</v>
      </c>
    </row>
    <row r="64" spans="1:5" ht="16.5">
      <c r="A64" s="127" t="s">
        <v>231</v>
      </c>
      <c r="B64" s="127"/>
      <c r="C64" s="127"/>
      <c r="D64" s="127"/>
      <c r="E64" s="46">
        <f>SUM(E72)</f>
        <v>90600000</v>
      </c>
    </row>
    <row r="65" spans="1:5" ht="16.5">
      <c r="A65" s="81">
        <v>805</v>
      </c>
      <c r="B65" s="81">
        <v>161</v>
      </c>
      <c r="C65" s="81">
        <v>6606</v>
      </c>
      <c r="D65" s="47" t="s">
        <v>165</v>
      </c>
      <c r="E65" s="44">
        <v>14400000</v>
      </c>
    </row>
    <row r="66" spans="1:5" ht="16.5">
      <c r="A66" s="81">
        <v>805</v>
      </c>
      <c r="B66" s="81">
        <v>161</v>
      </c>
      <c r="C66" s="39">
        <v>6551</v>
      </c>
      <c r="D66" s="40" t="s">
        <v>251</v>
      </c>
      <c r="E66" s="44">
        <v>8000000</v>
      </c>
    </row>
    <row r="67" spans="1:5" ht="16.5">
      <c r="A67" s="81">
        <v>805</v>
      </c>
      <c r="B67" s="81">
        <v>161</v>
      </c>
      <c r="C67" s="39">
        <v>6599</v>
      </c>
      <c r="D67" s="40" t="s">
        <v>261</v>
      </c>
      <c r="E67" s="44">
        <v>5500000</v>
      </c>
    </row>
    <row r="68" spans="1:5" ht="16.5">
      <c r="A68" s="81">
        <v>805</v>
      </c>
      <c r="B68" s="81">
        <v>161</v>
      </c>
      <c r="C68" s="39">
        <v>6905</v>
      </c>
      <c r="D68" s="40" t="s">
        <v>229</v>
      </c>
      <c r="E68" s="44">
        <v>7000000</v>
      </c>
    </row>
    <row r="69" spans="1:5" ht="16.5">
      <c r="A69" s="81">
        <v>805</v>
      </c>
      <c r="B69" s="81">
        <v>161</v>
      </c>
      <c r="C69" s="81">
        <v>7049</v>
      </c>
      <c r="D69" s="47" t="s">
        <v>253</v>
      </c>
      <c r="E69" s="44">
        <v>8000000</v>
      </c>
    </row>
    <row r="70" spans="1:5" ht="16.5">
      <c r="A70" s="81">
        <v>805</v>
      </c>
      <c r="B70" s="81">
        <v>161</v>
      </c>
      <c r="C70" s="81">
        <v>7049</v>
      </c>
      <c r="D70" s="45" t="s">
        <v>205</v>
      </c>
      <c r="E70" s="44">
        <v>36000000</v>
      </c>
    </row>
    <row r="71" spans="1:5" ht="16.5">
      <c r="A71" s="81">
        <v>805</v>
      </c>
      <c r="B71" s="81">
        <v>161</v>
      </c>
      <c r="C71" s="81">
        <v>7049</v>
      </c>
      <c r="D71" s="45" t="s">
        <v>166</v>
      </c>
      <c r="E71" s="44">
        <v>11700000</v>
      </c>
    </row>
    <row r="72" spans="1:5" ht="16.5">
      <c r="A72" s="81"/>
      <c r="B72" s="81"/>
      <c r="C72" s="81"/>
      <c r="D72" s="48" t="s">
        <v>182</v>
      </c>
      <c r="E72" s="46">
        <f>SUM(E65:E71)</f>
        <v>90600000</v>
      </c>
    </row>
    <row r="73" spans="1:5" ht="16.5">
      <c r="A73" s="127" t="s">
        <v>233</v>
      </c>
      <c r="B73" s="127"/>
      <c r="C73" s="127"/>
      <c r="D73" s="127"/>
      <c r="E73" s="46">
        <f>SUM(E83)</f>
        <v>178520000</v>
      </c>
    </row>
    <row r="74" spans="1:5" ht="16.5">
      <c r="A74" s="81">
        <v>809</v>
      </c>
      <c r="B74" s="117" t="s">
        <v>232</v>
      </c>
      <c r="C74" s="39">
        <v>6449</v>
      </c>
      <c r="D74" s="40" t="s">
        <v>256</v>
      </c>
      <c r="E74" s="44">
        <v>8500000</v>
      </c>
    </row>
    <row r="75" spans="1:5" ht="16.5">
      <c r="A75" s="81">
        <v>809</v>
      </c>
      <c r="B75" s="117" t="s">
        <v>232</v>
      </c>
      <c r="C75" s="39">
        <v>6201</v>
      </c>
      <c r="D75" s="40" t="s">
        <v>188</v>
      </c>
      <c r="E75" s="44">
        <v>700000</v>
      </c>
    </row>
    <row r="76" spans="1:5" ht="16.5">
      <c r="A76" s="81">
        <v>809</v>
      </c>
      <c r="B76" s="117" t="s">
        <v>232</v>
      </c>
      <c r="C76" s="81">
        <v>6353</v>
      </c>
      <c r="D76" s="45" t="s">
        <v>206</v>
      </c>
      <c r="E76" s="44">
        <f>9*1490000*12</f>
        <v>160920000</v>
      </c>
    </row>
    <row r="77" spans="1:5" ht="16.5">
      <c r="A77" s="81">
        <v>809</v>
      </c>
      <c r="B77" s="117" t="s">
        <v>232</v>
      </c>
      <c r="C77" s="39">
        <v>6551</v>
      </c>
      <c r="D77" s="40" t="s">
        <v>251</v>
      </c>
      <c r="E77" s="44">
        <v>700000</v>
      </c>
    </row>
    <row r="78" spans="1:5" ht="16.5">
      <c r="A78" s="81">
        <v>809</v>
      </c>
      <c r="B78" s="117" t="s">
        <v>232</v>
      </c>
      <c r="C78" s="39">
        <v>6599</v>
      </c>
      <c r="D78" s="40" t="s">
        <v>261</v>
      </c>
      <c r="E78" s="44">
        <v>700000</v>
      </c>
    </row>
    <row r="79" spans="1:5" ht="16.5">
      <c r="A79" s="81">
        <v>809</v>
      </c>
      <c r="B79" s="117" t="s">
        <v>232</v>
      </c>
      <c r="C79" s="81">
        <v>6658</v>
      </c>
      <c r="D79" s="45" t="s">
        <v>191</v>
      </c>
      <c r="E79" s="44">
        <v>2000000</v>
      </c>
    </row>
    <row r="80" spans="1:5" ht="16.5">
      <c r="A80" s="81">
        <v>809</v>
      </c>
      <c r="B80" s="117" t="s">
        <v>232</v>
      </c>
      <c r="C80" s="81">
        <v>6699</v>
      </c>
      <c r="D80" s="45" t="s">
        <v>264</v>
      </c>
      <c r="E80" s="44">
        <v>1000000</v>
      </c>
    </row>
    <row r="81" spans="1:5" ht="16.5">
      <c r="A81" s="81">
        <v>809</v>
      </c>
      <c r="B81" s="117" t="s">
        <v>232</v>
      </c>
      <c r="C81" s="81">
        <v>7049</v>
      </c>
      <c r="D81" s="45" t="s">
        <v>207</v>
      </c>
      <c r="E81" s="44">
        <v>2000000</v>
      </c>
    </row>
    <row r="82" spans="1:5" ht="16.5">
      <c r="A82" s="81">
        <v>809</v>
      </c>
      <c r="B82" s="117" t="s">
        <v>232</v>
      </c>
      <c r="C82" s="81">
        <v>7799</v>
      </c>
      <c r="D82" s="45" t="s">
        <v>167</v>
      </c>
      <c r="E82" s="44">
        <v>2000000</v>
      </c>
    </row>
    <row r="83" spans="1:5" ht="16.5">
      <c r="A83" s="81"/>
      <c r="B83" s="81"/>
      <c r="C83" s="81"/>
      <c r="D83" s="48" t="s">
        <v>183</v>
      </c>
      <c r="E83" s="46">
        <f>SUM(E74:E82)</f>
        <v>178520000</v>
      </c>
    </row>
    <row r="84" spans="1:5" ht="16.5">
      <c r="A84" s="127" t="s">
        <v>235</v>
      </c>
      <c r="B84" s="127"/>
      <c r="C84" s="127"/>
      <c r="D84" s="127"/>
      <c r="E84" s="46">
        <f>SUM(E97)</f>
        <v>194480000</v>
      </c>
    </row>
    <row r="85" spans="1:5" ht="16.5">
      <c r="A85" s="81">
        <v>810</v>
      </c>
      <c r="B85" s="117" t="s">
        <v>234</v>
      </c>
      <c r="C85" s="39">
        <v>6449</v>
      </c>
      <c r="D85" s="40" t="s">
        <v>256</v>
      </c>
      <c r="E85" s="44">
        <v>8500000</v>
      </c>
    </row>
    <row r="86" spans="1:5" ht="16.5">
      <c r="A86" s="81">
        <v>810</v>
      </c>
      <c r="B86" s="117" t="s">
        <v>234</v>
      </c>
      <c r="C86" s="39">
        <v>6201</v>
      </c>
      <c r="D86" s="40" t="s">
        <v>188</v>
      </c>
      <c r="E86" s="44">
        <v>700000</v>
      </c>
    </row>
    <row r="87" spans="1:5" ht="16.5">
      <c r="A87" s="81">
        <v>810</v>
      </c>
      <c r="B87" s="117" t="s">
        <v>234</v>
      </c>
      <c r="C87" s="81">
        <v>6113</v>
      </c>
      <c r="D87" s="45" t="s">
        <v>208</v>
      </c>
      <c r="E87" s="44">
        <f>(2.26)*1490000*12</f>
        <v>40408799.99999999</v>
      </c>
    </row>
    <row r="88" spans="1:5" ht="16.5">
      <c r="A88" s="81">
        <v>810</v>
      </c>
      <c r="B88" s="117" t="s">
        <v>234</v>
      </c>
      <c r="C88" s="81">
        <v>6115</v>
      </c>
      <c r="D88" s="45" t="s">
        <v>267</v>
      </c>
      <c r="E88" s="44">
        <f>(0.47+0.29)*1490000*12</f>
        <v>13588800</v>
      </c>
    </row>
    <row r="89" spans="1:5" ht="16.5">
      <c r="A89" s="81">
        <v>810</v>
      </c>
      <c r="B89" s="117" t="s">
        <v>234</v>
      </c>
      <c r="C89" s="81">
        <v>6116</v>
      </c>
      <c r="D89" s="40" t="s">
        <v>128</v>
      </c>
      <c r="E89" s="44">
        <f>(1.5+0.29+0.8)*1490000*50%*12</f>
        <v>23154600</v>
      </c>
    </row>
    <row r="90" spans="1:5" ht="16.5">
      <c r="A90" s="81">
        <v>810</v>
      </c>
      <c r="B90" s="117" t="s">
        <v>234</v>
      </c>
      <c r="C90" s="81">
        <v>6353</v>
      </c>
      <c r="D90" s="45" t="s">
        <v>255</v>
      </c>
      <c r="E90" s="44">
        <f>9*0.5*1490000*12</f>
        <v>80460000</v>
      </c>
    </row>
    <row r="91" spans="1:5" ht="16.5">
      <c r="A91" s="81">
        <v>810</v>
      </c>
      <c r="B91" s="117" t="s">
        <v>234</v>
      </c>
      <c r="C91" s="39">
        <v>6551</v>
      </c>
      <c r="D91" s="40" t="s">
        <v>251</v>
      </c>
      <c r="E91" s="44">
        <v>1700000</v>
      </c>
    </row>
    <row r="92" spans="1:5" ht="16.5">
      <c r="A92" s="81">
        <v>810</v>
      </c>
      <c r="B92" s="117" t="s">
        <v>234</v>
      </c>
      <c r="C92" s="39">
        <v>6599</v>
      </c>
      <c r="D92" s="40" t="s">
        <v>261</v>
      </c>
      <c r="E92" s="44">
        <v>1600000</v>
      </c>
    </row>
    <row r="93" spans="1:5" ht="16.5">
      <c r="A93" s="81">
        <v>810</v>
      </c>
      <c r="B93" s="117" t="s">
        <v>234</v>
      </c>
      <c r="C93" s="81">
        <v>6658</v>
      </c>
      <c r="D93" s="45" t="s">
        <v>191</v>
      </c>
      <c r="E93" s="44">
        <v>3000000</v>
      </c>
    </row>
    <row r="94" spans="1:5" ht="16.5">
      <c r="A94" s="81">
        <v>810</v>
      </c>
      <c r="B94" s="117" t="s">
        <v>234</v>
      </c>
      <c r="C94" s="81">
        <v>6699</v>
      </c>
      <c r="D94" s="45" t="s">
        <v>264</v>
      </c>
      <c r="E94" s="44">
        <v>3000000</v>
      </c>
    </row>
    <row r="95" spans="1:5" ht="16.5">
      <c r="A95" s="81">
        <v>810</v>
      </c>
      <c r="B95" s="117" t="s">
        <v>234</v>
      </c>
      <c r="C95" s="81">
        <v>7049</v>
      </c>
      <c r="D95" s="45" t="s">
        <v>209</v>
      </c>
      <c r="E95" s="44">
        <v>4367800</v>
      </c>
    </row>
    <row r="96" spans="1:5" ht="16.5">
      <c r="A96" s="81">
        <v>810</v>
      </c>
      <c r="B96" s="117" t="s">
        <v>234</v>
      </c>
      <c r="C96" s="81">
        <v>7799</v>
      </c>
      <c r="D96" s="45" t="s">
        <v>167</v>
      </c>
      <c r="E96" s="44">
        <v>14000000</v>
      </c>
    </row>
    <row r="97" spans="1:5" ht="16.5">
      <c r="A97" s="81"/>
      <c r="B97" s="81"/>
      <c r="C97" s="81"/>
      <c r="D97" s="48" t="s">
        <v>210</v>
      </c>
      <c r="E97" s="46">
        <f>SUM(E85:E96)</f>
        <v>194480000</v>
      </c>
    </row>
    <row r="98" spans="1:7" ht="16.5">
      <c r="A98" s="127" t="s">
        <v>307</v>
      </c>
      <c r="B98" s="127"/>
      <c r="C98" s="127"/>
      <c r="D98" s="127"/>
      <c r="E98" s="46">
        <f>SUM(E118+E138+E158+E178+E199)</f>
        <v>622685142</v>
      </c>
      <c r="F98" s="116"/>
      <c r="G98" s="116"/>
    </row>
    <row r="99" spans="1:6" ht="16.5">
      <c r="A99" s="81">
        <v>811</v>
      </c>
      <c r="B99" s="81">
        <v>361</v>
      </c>
      <c r="C99" s="81">
        <v>6001</v>
      </c>
      <c r="D99" s="45" t="s">
        <v>211</v>
      </c>
      <c r="E99" s="44">
        <f>2.06*1490000*12</f>
        <v>36832800</v>
      </c>
      <c r="F99" s="116"/>
    </row>
    <row r="100" spans="1:5" ht="16.5">
      <c r="A100" s="81">
        <v>811</v>
      </c>
      <c r="B100" s="81">
        <v>361</v>
      </c>
      <c r="C100" s="81">
        <v>6101</v>
      </c>
      <c r="D100" s="45" t="s">
        <v>4</v>
      </c>
      <c r="E100" s="44">
        <f>0.15*1490000*12</f>
        <v>2682000</v>
      </c>
    </row>
    <row r="101" spans="1:5" ht="16.5">
      <c r="A101" s="81">
        <v>811</v>
      </c>
      <c r="B101" s="81">
        <v>361</v>
      </c>
      <c r="C101" s="81">
        <v>6124</v>
      </c>
      <c r="D101" s="45" t="s">
        <v>249</v>
      </c>
      <c r="E101" s="44">
        <f>(E99+E100)*25%</f>
        <v>9878700</v>
      </c>
    </row>
    <row r="102" spans="1:5" ht="16.5">
      <c r="A102" s="81">
        <v>811</v>
      </c>
      <c r="B102" s="81">
        <v>361</v>
      </c>
      <c r="C102" s="81">
        <v>6301</v>
      </c>
      <c r="D102" s="45" t="s">
        <v>10</v>
      </c>
      <c r="E102" s="44">
        <f>((E99+E100)*17.5%)+(1490000*14%*12)</f>
        <v>9418290</v>
      </c>
    </row>
    <row r="103" spans="1:5" ht="16.5">
      <c r="A103" s="81">
        <v>811</v>
      </c>
      <c r="B103" s="81">
        <v>361</v>
      </c>
      <c r="C103" s="81">
        <v>6302</v>
      </c>
      <c r="D103" s="45" t="s">
        <v>9</v>
      </c>
      <c r="E103" s="44">
        <f>((E99+E100)*3%)+(1490000*3%*12)</f>
        <v>1721844</v>
      </c>
    </row>
    <row r="104" spans="1:5" ht="16.5">
      <c r="A104" s="81">
        <v>811</v>
      </c>
      <c r="B104" s="81">
        <v>361</v>
      </c>
      <c r="C104" s="81">
        <v>6303</v>
      </c>
      <c r="D104" s="45" t="s">
        <v>11</v>
      </c>
      <c r="E104" s="44">
        <f>((E99+E100)+(1490000*12))*2%</f>
        <v>1147896</v>
      </c>
    </row>
    <row r="105" spans="1:5" ht="16.5">
      <c r="A105" s="81">
        <v>811</v>
      </c>
      <c r="B105" s="81">
        <v>361</v>
      </c>
      <c r="C105" s="81">
        <v>6353</v>
      </c>
      <c r="D105" s="45" t="s">
        <v>225</v>
      </c>
      <c r="E105" s="44">
        <f>0.8*1490000*12</f>
        <v>14304000</v>
      </c>
    </row>
    <row r="106" spans="1:6" ht="16.5">
      <c r="A106" s="81">
        <v>811</v>
      </c>
      <c r="B106" s="81">
        <v>361</v>
      </c>
      <c r="C106" s="81">
        <v>6201</v>
      </c>
      <c r="D106" s="45" t="s">
        <v>188</v>
      </c>
      <c r="E106" s="44">
        <v>1000000</v>
      </c>
      <c r="F106" s="116">
        <f>E106+E107+E108+E110+E111+E112+E113+E114+E115+E117</f>
        <v>16550000</v>
      </c>
    </row>
    <row r="107" spans="1:5" ht="16.5">
      <c r="A107" s="81">
        <v>811</v>
      </c>
      <c r="B107" s="81">
        <v>361</v>
      </c>
      <c r="C107" s="81">
        <v>6299</v>
      </c>
      <c r="D107" s="45" t="s">
        <v>28</v>
      </c>
      <c r="E107" s="44">
        <v>600000</v>
      </c>
    </row>
    <row r="108" spans="1:5" ht="16.5">
      <c r="A108" s="81">
        <v>811</v>
      </c>
      <c r="B108" s="81">
        <v>361</v>
      </c>
      <c r="C108" s="81">
        <v>6551</v>
      </c>
      <c r="D108" s="45" t="s">
        <v>162</v>
      </c>
      <c r="E108" s="44">
        <v>1000000</v>
      </c>
    </row>
    <row r="109" spans="1:5" ht="16.5">
      <c r="A109" s="81">
        <v>811</v>
      </c>
      <c r="B109" s="81">
        <v>361</v>
      </c>
      <c r="C109" s="81">
        <v>6599</v>
      </c>
      <c r="D109" s="45" t="s">
        <v>261</v>
      </c>
      <c r="E109" s="44">
        <v>1000000</v>
      </c>
    </row>
    <row r="110" spans="1:5" ht="16.5">
      <c r="A110" s="81">
        <v>811</v>
      </c>
      <c r="B110" s="81">
        <v>361</v>
      </c>
      <c r="C110" s="81">
        <v>6658</v>
      </c>
      <c r="D110" s="45" t="s">
        <v>191</v>
      </c>
      <c r="E110" s="44">
        <v>2400000</v>
      </c>
    </row>
    <row r="111" spans="1:5" ht="16.5">
      <c r="A111" s="81">
        <v>811</v>
      </c>
      <c r="B111" s="81">
        <v>361</v>
      </c>
      <c r="C111" s="81">
        <v>6699</v>
      </c>
      <c r="D111" s="45" t="s">
        <v>264</v>
      </c>
      <c r="E111" s="44">
        <v>1500000</v>
      </c>
    </row>
    <row r="112" spans="1:5" ht="16.5">
      <c r="A112" s="81">
        <v>811</v>
      </c>
      <c r="B112" s="81">
        <v>361</v>
      </c>
      <c r="C112" s="81">
        <v>6702</v>
      </c>
      <c r="D112" s="45" t="s">
        <v>202</v>
      </c>
      <c r="E112" s="44">
        <v>260000</v>
      </c>
    </row>
    <row r="113" spans="1:5" ht="16.5">
      <c r="A113" s="81">
        <v>811</v>
      </c>
      <c r="B113" s="81">
        <v>361</v>
      </c>
      <c r="C113" s="81">
        <v>6704</v>
      </c>
      <c r="D113" s="45" t="s">
        <v>203</v>
      </c>
      <c r="E113" s="44">
        <v>1440000</v>
      </c>
    </row>
    <row r="114" spans="1:5" ht="16.5">
      <c r="A114" s="81">
        <v>811</v>
      </c>
      <c r="B114" s="81">
        <v>361</v>
      </c>
      <c r="C114" s="81">
        <v>6912</v>
      </c>
      <c r="D114" s="45" t="s">
        <v>236</v>
      </c>
      <c r="E114" s="44">
        <v>2000000</v>
      </c>
    </row>
    <row r="115" spans="1:5" ht="16.5">
      <c r="A115" s="81">
        <v>811</v>
      </c>
      <c r="B115" s="81">
        <v>361</v>
      </c>
      <c r="C115" s="81">
        <v>7049</v>
      </c>
      <c r="D115" s="45" t="s">
        <v>113</v>
      </c>
      <c r="E115" s="44">
        <v>3545000</v>
      </c>
    </row>
    <row r="116" spans="1:5" ht="16.5">
      <c r="A116" s="81">
        <v>811</v>
      </c>
      <c r="B116" s="81">
        <v>361</v>
      </c>
      <c r="C116" s="81">
        <v>7049</v>
      </c>
      <c r="D116" s="45" t="s">
        <v>114</v>
      </c>
      <c r="E116" s="44">
        <v>7200000</v>
      </c>
    </row>
    <row r="117" spans="1:5" ht="16.5">
      <c r="A117" s="81">
        <v>811</v>
      </c>
      <c r="B117" s="81">
        <v>361</v>
      </c>
      <c r="C117" s="81">
        <v>7799</v>
      </c>
      <c r="D117" s="45" t="s">
        <v>167</v>
      </c>
      <c r="E117" s="44">
        <v>2805000</v>
      </c>
    </row>
    <row r="118" spans="1:5" ht="16.5">
      <c r="A118" s="81"/>
      <c r="B118" s="81"/>
      <c r="C118" s="81"/>
      <c r="D118" s="48" t="s">
        <v>116</v>
      </c>
      <c r="E118" s="46">
        <f>SUM(E99:E117)</f>
        <v>100735530</v>
      </c>
    </row>
    <row r="119" spans="1:6" ht="16.5">
      <c r="A119" s="81">
        <v>812</v>
      </c>
      <c r="B119" s="81">
        <v>361</v>
      </c>
      <c r="C119" s="81">
        <v>6001</v>
      </c>
      <c r="D119" s="45" t="s">
        <v>212</v>
      </c>
      <c r="E119" s="44">
        <f>2.66*1490000*12</f>
        <v>47560800</v>
      </c>
      <c r="F119" s="116"/>
    </row>
    <row r="120" spans="1:5" ht="16.5">
      <c r="A120" s="81">
        <v>812</v>
      </c>
      <c r="B120" s="81">
        <v>361</v>
      </c>
      <c r="C120" s="81">
        <v>6101</v>
      </c>
      <c r="D120" s="45" t="s">
        <v>4</v>
      </c>
      <c r="E120" s="44">
        <f>0.15*1490000*12</f>
        <v>2682000</v>
      </c>
    </row>
    <row r="121" spans="1:5" ht="16.5">
      <c r="A121" s="81">
        <v>812</v>
      </c>
      <c r="B121" s="81">
        <v>361</v>
      </c>
      <c r="C121" s="81">
        <v>6124</v>
      </c>
      <c r="D121" s="45" t="s">
        <v>249</v>
      </c>
      <c r="E121" s="44">
        <f>(E119+E120)*25%</f>
        <v>12560700</v>
      </c>
    </row>
    <row r="122" spans="1:5" ht="16.5">
      <c r="A122" s="81">
        <v>812</v>
      </c>
      <c r="B122" s="81">
        <v>361</v>
      </c>
      <c r="C122" s="81">
        <v>6301</v>
      </c>
      <c r="D122" s="45" t="s">
        <v>23</v>
      </c>
      <c r="E122" s="44">
        <f>(E119+E120)*17.5%+(1490000*12*14%)</f>
        <v>11295690</v>
      </c>
    </row>
    <row r="123" spans="1:5" ht="16.5">
      <c r="A123" s="81">
        <v>812</v>
      </c>
      <c r="B123" s="81">
        <v>361</v>
      </c>
      <c r="C123" s="81">
        <v>6302</v>
      </c>
      <c r="D123" s="45" t="s">
        <v>13</v>
      </c>
      <c r="E123" s="44">
        <f>((E119+E120)*4.5%)+(1490000*12*4.5%)</f>
        <v>3065526</v>
      </c>
    </row>
    <row r="124" spans="1:5" ht="16.5">
      <c r="A124" s="81">
        <v>812</v>
      </c>
      <c r="B124" s="81">
        <v>361</v>
      </c>
      <c r="C124" s="81">
        <v>6303</v>
      </c>
      <c r="D124" s="45" t="s">
        <v>12</v>
      </c>
      <c r="E124" s="44">
        <f>((E119+E120)+(1490000*12))*2%</f>
        <v>1362456</v>
      </c>
    </row>
    <row r="125" spans="1:5" ht="16.5">
      <c r="A125" s="81">
        <v>812</v>
      </c>
      <c r="B125" s="81">
        <v>361</v>
      </c>
      <c r="C125" s="81">
        <v>6353</v>
      </c>
      <c r="D125" s="45" t="s">
        <v>225</v>
      </c>
      <c r="E125" s="44">
        <f>0.8*70%*1490000*12</f>
        <v>10012799.999999998</v>
      </c>
    </row>
    <row r="126" spans="1:5" ht="16.5">
      <c r="A126" s="81">
        <v>812</v>
      </c>
      <c r="B126" s="81">
        <v>361</v>
      </c>
      <c r="C126" s="81">
        <v>6201</v>
      </c>
      <c r="D126" s="45" t="s">
        <v>188</v>
      </c>
      <c r="E126" s="44">
        <v>1000000</v>
      </c>
    </row>
    <row r="127" spans="1:5" ht="16.5">
      <c r="A127" s="81">
        <v>812</v>
      </c>
      <c r="B127" s="81">
        <v>361</v>
      </c>
      <c r="C127" s="81">
        <v>6299</v>
      </c>
      <c r="D127" s="45" t="s">
        <v>28</v>
      </c>
      <c r="E127" s="44">
        <v>600000</v>
      </c>
    </row>
    <row r="128" spans="1:5" ht="16.5">
      <c r="A128" s="81">
        <v>812</v>
      </c>
      <c r="B128" s="81">
        <v>361</v>
      </c>
      <c r="C128" s="81">
        <v>6551</v>
      </c>
      <c r="D128" s="45" t="s">
        <v>162</v>
      </c>
      <c r="E128" s="44">
        <v>1000000</v>
      </c>
    </row>
    <row r="129" spans="1:5" ht="16.5">
      <c r="A129" s="81">
        <v>812</v>
      </c>
      <c r="B129" s="81">
        <v>361</v>
      </c>
      <c r="C129" s="81">
        <v>6599</v>
      </c>
      <c r="D129" s="45" t="s">
        <v>261</v>
      </c>
      <c r="E129" s="44">
        <v>1000000</v>
      </c>
    </row>
    <row r="130" spans="1:5" ht="16.5">
      <c r="A130" s="81">
        <v>812</v>
      </c>
      <c r="B130" s="81">
        <v>361</v>
      </c>
      <c r="C130" s="81">
        <v>6658</v>
      </c>
      <c r="D130" s="45" t="s">
        <v>191</v>
      </c>
      <c r="E130" s="44">
        <v>2400000</v>
      </c>
    </row>
    <row r="131" spans="1:5" ht="16.5">
      <c r="A131" s="81">
        <v>812</v>
      </c>
      <c r="B131" s="81">
        <v>361</v>
      </c>
      <c r="C131" s="81">
        <v>6699</v>
      </c>
      <c r="D131" s="45" t="s">
        <v>264</v>
      </c>
      <c r="E131" s="44">
        <v>1500000</v>
      </c>
    </row>
    <row r="132" spans="1:5" ht="16.5">
      <c r="A132" s="81">
        <v>812</v>
      </c>
      <c r="B132" s="81">
        <v>361</v>
      </c>
      <c r="C132" s="81">
        <v>6702</v>
      </c>
      <c r="D132" s="45" t="s">
        <v>202</v>
      </c>
      <c r="E132" s="44">
        <v>260000</v>
      </c>
    </row>
    <row r="133" spans="1:5" ht="16.5">
      <c r="A133" s="81">
        <v>812</v>
      </c>
      <c r="B133" s="81">
        <v>361</v>
      </c>
      <c r="C133" s="81">
        <v>6704</v>
      </c>
      <c r="D133" s="45" t="s">
        <v>203</v>
      </c>
      <c r="E133" s="44">
        <v>1440000</v>
      </c>
    </row>
    <row r="134" spans="1:5" ht="16.5">
      <c r="A134" s="81">
        <v>812</v>
      </c>
      <c r="B134" s="81">
        <v>361</v>
      </c>
      <c r="C134" s="81">
        <v>6912</v>
      </c>
      <c r="D134" s="45" t="s">
        <v>236</v>
      </c>
      <c r="E134" s="44">
        <v>2000000</v>
      </c>
    </row>
    <row r="135" spans="1:5" ht="16.5">
      <c r="A135" s="81">
        <v>812</v>
      </c>
      <c r="B135" s="81">
        <v>361</v>
      </c>
      <c r="C135" s="81">
        <v>7049</v>
      </c>
      <c r="D135" s="45" t="s">
        <v>113</v>
      </c>
      <c r="E135" s="44">
        <v>3545000</v>
      </c>
    </row>
    <row r="136" spans="1:5" ht="16.5">
      <c r="A136" s="81">
        <v>812</v>
      </c>
      <c r="B136" s="81">
        <v>361</v>
      </c>
      <c r="C136" s="81">
        <v>7049</v>
      </c>
      <c r="D136" s="45" t="s">
        <v>114</v>
      </c>
      <c r="E136" s="44">
        <v>7200000</v>
      </c>
    </row>
    <row r="137" spans="1:5" ht="16.5">
      <c r="A137" s="81">
        <v>812</v>
      </c>
      <c r="B137" s="81">
        <v>361</v>
      </c>
      <c r="C137" s="81">
        <v>7799</v>
      </c>
      <c r="D137" s="45" t="s">
        <v>167</v>
      </c>
      <c r="E137" s="44">
        <v>2805000</v>
      </c>
    </row>
    <row r="138" spans="1:5" ht="16.5">
      <c r="A138" s="81"/>
      <c r="B138" s="81"/>
      <c r="C138" s="81"/>
      <c r="D138" s="48" t="s">
        <v>115</v>
      </c>
      <c r="E138" s="46">
        <f>SUM(E119:E137)</f>
        <v>113289972</v>
      </c>
    </row>
    <row r="139" spans="1:6" ht="16.5">
      <c r="A139" s="81">
        <v>813</v>
      </c>
      <c r="B139" s="81">
        <v>361</v>
      </c>
      <c r="C139" s="81">
        <v>6001</v>
      </c>
      <c r="D139" s="45" t="s">
        <v>213</v>
      </c>
      <c r="E139" s="44">
        <f>2.46*1490000*12</f>
        <v>43984800</v>
      </c>
      <c r="F139" s="116"/>
    </row>
    <row r="140" spans="1:5" ht="16.5">
      <c r="A140" s="81">
        <v>813</v>
      </c>
      <c r="B140" s="81">
        <v>361</v>
      </c>
      <c r="C140" s="81">
        <v>6101</v>
      </c>
      <c r="D140" s="45" t="s">
        <v>4</v>
      </c>
      <c r="E140" s="44">
        <f>0.15*1490000*12</f>
        <v>2682000</v>
      </c>
    </row>
    <row r="141" spans="1:5" ht="16.5">
      <c r="A141" s="81">
        <v>813</v>
      </c>
      <c r="B141" s="81">
        <v>361</v>
      </c>
      <c r="C141" s="81">
        <v>6124</v>
      </c>
      <c r="D141" s="45" t="s">
        <v>249</v>
      </c>
      <c r="E141" s="44">
        <f>(E139+E140)*25%</f>
        <v>11666700</v>
      </c>
    </row>
    <row r="142" spans="1:5" ht="16.5">
      <c r="A142" s="81">
        <v>813</v>
      </c>
      <c r="B142" s="81">
        <v>361</v>
      </c>
      <c r="C142" s="81">
        <v>6301</v>
      </c>
      <c r="D142" s="45" t="s">
        <v>16</v>
      </c>
      <c r="E142" s="44">
        <f>(E139+E140)*17.5%+(1490000*14%*12)</f>
        <v>10669890</v>
      </c>
    </row>
    <row r="143" spans="1:5" ht="16.5">
      <c r="A143" s="81">
        <v>813</v>
      </c>
      <c r="B143" s="81">
        <v>361</v>
      </c>
      <c r="C143" s="81">
        <v>6302</v>
      </c>
      <c r="D143" s="45" t="s">
        <v>14</v>
      </c>
      <c r="E143" s="44">
        <f>((E139+E140)*3%)+(1490000*3%*12)</f>
        <v>1936404</v>
      </c>
    </row>
    <row r="144" spans="1:5" ht="16.5">
      <c r="A144" s="81">
        <v>813</v>
      </c>
      <c r="B144" s="81">
        <v>361</v>
      </c>
      <c r="C144" s="81">
        <v>6303</v>
      </c>
      <c r="D144" s="45" t="s">
        <v>15</v>
      </c>
      <c r="E144" s="44">
        <f>((E139+E140)+(1490000*12))*2%</f>
        <v>1290936</v>
      </c>
    </row>
    <row r="145" spans="1:5" ht="16.5">
      <c r="A145" s="81">
        <v>813</v>
      </c>
      <c r="B145" s="81">
        <v>361</v>
      </c>
      <c r="C145" s="81">
        <v>6353</v>
      </c>
      <c r="D145" s="45" t="s">
        <v>192</v>
      </c>
      <c r="E145" s="44">
        <f>0.8*1490000*12</f>
        <v>14304000</v>
      </c>
    </row>
    <row r="146" spans="1:5" ht="16.5">
      <c r="A146" s="81">
        <v>813</v>
      </c>
      <c r="B146" s="81">
        <v>361</v>
      </c>
      <c r="C146" s="81">
        <v>6201</v>
      </c>
      <c r="D146" s="45" t="s">
        <v>188</v>
      </c>
      <c r="E146" s="44">
        <v>1000000</v>
      </c>
    </row>
    <row r="147" spans="1:5" ht="16.5">
      <c r="A147" s="81">
        <v>813</v>
      </c>
      <c r="B147" s="81">
        <v>361</v>
      </c>
      <c r="C147" s="81">
        <v>6299</v>
      </c>
      <c r="D147" s="45" t="s">
        <v>28</v>
      </c>
      <c r="E147" s="44">
        <v>600000</v>
      </c>
    </row>
    <row r="148" spans="1:5" ht="16.5">
      <c r="A148" s="81">
        <v>813</v>
      </c>
      <c r="B148" s="81">
        <v>361</v>
      </c>
      <c r="C148" s="81">
        <v>6551</v>
      </c>
      <c r="D148" s="45" t="s">
        <v>162</v>
      </c>
      <c r="E148" s="44">
        <v>1000000</v>
      </c>
    </row>
    <row r="149" spans="1:5" ht="16.5">
      <c r="A149" s="81">
        <v>813</v>
      </c>
      <c r="B149" s="81">
        <v>361</v>
      </c>
      <c r="C149" s="81">
        <v>6599</v>
      </c>
      <c r="D149" s="45" t="s">
        <v>261</v>
      </c>
      <c r="E149" s="44">
        <v>1000000</v>
      </c>
    </row>
    <row r="150" spans="1:5" ht="16.5">
      <c r="A150" s="81">
        <v>813</v>
      </c>
      <c r="B150" s="81">
        <v>361</v>
      </c>
      <c r="C150" s="81">
        <v>6658</v>
      </c>
      <c r="D150" s="45" t="s">
        <v>191</v>
      </c>
      <c r="E150" s="44">
        <v>2400000</v>
      </c>
    </row>
    <row r="151" spans="1:5" ht="16.5">
      <c r="A151" s="81">
        <v>813</v>
      </c>
      <c r="B151" s="81">
        <v>361</v>
      </c>
      <c r="C151" s="81">
        <v>6699</v>
      </c>
      <c r="D151" s="45" t="s">
        <v>264</v>
      </c>
      <c r="E151" s="44">
        <v>1500000</v>
      </c>
    </row>
    <row r="152" spans="1:5" ht="16.5">
      <c r="A152" s="81">
        <v>813</v>
      </c>
      <c r="B152" s="81">
        <v>361</v>
      </c>
      <c r="C152" s="81">
        <v>6702</v>
      </c>
      <c r="D152" s="45" t="s">
        <v>202</v>
      </c>
      <c r="E152" s="44">
        <v>260000</v>
      </c>
    </row>
    <row r="153" spans="1:5" ht="16.5">
      <c r="A153" s="81">
        <v>813</v>
      </c>
      <c r="B153" s="81">
        <v>361</v>
      </c>
      <c r="C153" s="81">
        <v>6704</v>
      </c>
      <c r="D153" s="45" t="s">
        <v>203</v>
      </c>
      <c r="E153" s="44">
        <v>1440000</v>
      </c>
    </row>
    <row r="154" spans="1:5" ht="16.5">
      <c r="A154" s="81">
        <v>813</v>
      </c>
      <c r="B154" s="81">
        <v>361</v>
      </c>
      <c r="C154" s="81">
        <v>6912</v>
      </c>
      <c r="D154" s="45" t="s">
        <v>236</v>
      </c>
      <c r="E154" s="44">
        <v>2000000</v>
      </c>
    </row>
    <row r="155" spans="1:5" ht="16.5">
      <c r="A155" s="81">
        <v>813</v>
      </c>
      <c r="B155" s="81">
        <v>361</v>
      </c>
      <c r="C155" s="81">
        <v>7049</v>
      </c>
      <c r="D155" s="45" t="s">
        <v>113</v>
      </c>
      <c r="E155" s="44">
        <v>3545000</v>
      </c>
    </row>
    <row r="156" spans="1:5" ht="16.5">
      <c r="A156" s="81">
        <v>813</v>
      </c>
      <c r="B156" s="81">
        <v>361</v>
      </c>
      <c r="C156" s="81">
        <v>7049</v>
      </c>
      <c r="D156" s="45" t="s">
        <v>114</v>
      </c>
      <c r="E156" s="44">
        <v>7200000</v>
      </c>
    </row>
    <row r="157" spans="1:5" ht="16.5">
      <c r="A157" s="81">
        <v>813</v>
      </c>
      <c r="B157" s="81">
        <v>361</v>
      </c>
      <c r="C157" s="81">
        <v>7799</v>
      </c>
      <c r="D157" s="45" t="s">
        <v>167</v>
      </c>
      <c r="E157" s="44">
        <v>2805000</v>
      </c>
    </row>
    <row r="158" spans="1:5" ht="16.5">
      <c r="A158" s="81"/>
      <c r="B158" s="81"/>
      <c r="C158" s="81"/>
      <c r="D158" s="48" t="s">
        <v>117</v>
      </c>
      <c r="E158" s="46">
        <f>SUM(E139:E157)</f>
        <v>111284730</v>
      </c>
    </row>
    <row r="159" spans="1:6" ht="16.5">
      <c r="A159" s="81">
        <v>814</v>
      </c>
      <c r="B159" s="81">
        <v>361</v>
      </c>
      <c r="C159" s="81">
        <v>6001</v>
      </c>
      <c r="D159" s="45" t="s">
        <v>169</v>
      </c>
      <c r="E159" s="44">
        <f>1.86*1490000*12</f>
        <v>33256800</v>
      </c>
      <c r="F159" s="116"/>
    </row>
    <row r="160" spans="1:5" ht="16.5">
      <c r="A160" s="81">
        <v>814</v>
      </c>
      <c r="B160" s="81">
        <v>361</v>
      </c>
      <c r="C160" s="81">
        <v>6101</v>
      </c>
      <c r="D160" s="45" t="s">
        <v>4</v>
      </c>
      <c r="E160" s="44">
        <f>0.15*1490000*12</f>
        <v>2682000</v>
      </c>
    </row>
    <row r="161" spans="1:5" ht="16.5">
      <c r="A161" s="81">
        <v>814</v>
      </c>
      <c r="B161" s="81">
        <v>361</v>
      </c>
      <c r="C161" s="81">
        <v>6124</v>
      </c>
      <c r="D161" s="45" t="s">
        <v>249</v>
      </c>
      <c r="E161" s="44">
        <f>(E159+E160)*25%</f>
        <v>8984700</v>
      </c>
    </row>
    <row r="162" spans="1:5" ht="16.5">
      <c r="A162" s="81">
        <v>814</v>
      </c>
      <c r="B162" s="81">
        <v>361</v>
      </c>
      <c r="C162" s="81">
        <v>6301</v>
      </c>
      <c r="D162" s="45" t="s">
        <v>170</v>
      </c>
      <c r="E162" s="44">
        <f>(E159+E160)*17.5%+(1490000*12*14%)</f>
        <v>8792490</v>
      </c>
    </row>
    <row r="163" spans="1:5" ht="16.5">
      <c r="A163" s="81">
        <v>814</v>
      </c>
      <c r="B163" s="81">
        <v>361</v>
      </c>
      <c r="C163" s="81">
        <v>6302</v>
      </c>
      <c r="D163" s="45" t="s">
        <v>171</v>
      </c>
      <c r="E163" s="44">
        <f>((E159+E160)*3%)+(1490000*12*3%)</f>
        <v>1614564</v>
      </c>
    </row>
    <row r="164" spans="1:5" ht="16.5">
      <c r="A164" s="81">
        <v>814</v>
      </c>
      <c r="B164" s="81">
        <v>361</v>
      </c>
      <c r="C164" s="81">
        <v>6303</v>
      </c>
      <c r="D164" s="45" t="s">
        <v>172</v>
      </c>
      <c r="E164" s="44">
        <f>((E159+E160)+(1490000*12))*2%</f>
        <v>1076376</v>
      </c>
    </row>
    <row r="165" spans="1:5" ht="16.5">
      <c r="A165" s="81">
        <v>814</v>
      </c>
      <c r="B165" s="81">
        <v>361</v>
      </c>
      <c r="C165" s="81">
        <v>6353</v>
      </c>
      <c r="D165" s="45" t="s">
        <v>225</v>
      </c>
      <c r="E165" s="44">
        <f>0.8*1490000*12</f>
        <v>14304000</v>
      </c>
    </row>
    <row r="166" spans="1:5" ht="16.5">
      <c r="A166" s="81">
        <v>814</v>
      </c>
      <c r="B166" s="81">
        <v>361</v>
      </c>
      <c r="C166" s="81">
        <v>6201</v>
      </c>
      <c r="D166" s="45" t="s">
        <v>188</v>
      </c>
      <c r="E166" s="44">
        <v>1000000</v>
      </c>
    </row>
    <row r="167" spans="1:5" ht="16.5">
      <c r="A167" s="81">
        <v>814</v>
      </c>
      <c r="B167" s="81">
        <v>361</v>
      </c>
      <c r="C167" s="81">
        <v>6299</v>
      </c>
      <c r="D167" s="45" t="s">
        <v>28</v>
      </c>
      <c r="E167" s="44">
        <v>600000</v>
      </c>
    </row>
    <row r="168" spans="1:5" ht="16.5">
      <c r="A168" s="81">
        <v>814</v>
      </c>
      <c r="B168" s="81">
        <v>361</v>
      </c>
      <c r="C168" s="81">
        <v>6551</v>
      </c>
      <c r="D168" s="45" t="s">
        <v>162</v>
      </c>
      <c r="E168" s="44">
        <v>1000000</v>
      </c>
    </row>
    <row r="169" spans="1:5" ht="16.5">
      <c r="A169" s="81">
        <v>814</v>
      </c>
      <c r="B169" s="81">
        <v>361</v>
      </c>
      <c r="C169" s="81">
        <v>6599</v>
      </c>
      <c r="D169" s="45" t="s">
        <v>261</v>
      </c>
      <c r="E169" s="44">
        <v>1000000</v>
      </c>
    </row>
    <row r="170" spans="1:5" ht="16.5">
      <c r="A170" s="81">
        <v>814</v>
      </c>
      <c r="B170" s="81">
        <v>361</v>
      </c>
      <c r="C170" s="81">
        <v>6658</v>
      </c>
      <c r="D170" s="45" t="s">
        <v>191</v>
      </c>
      <c r="E170" s="44">
        <v>2400000</v>
      </c>
    </row>
    <row r="171" spans="1:5" ht="16.5">
      <c r="A171" s="81">
        <v>814</v>
      </c>
      <c r="B171" s="81">
        <v>361</v>
      </c>
      <c r="C171" s="81">
        <v>6699</v>
      </c>
      <c r="D171" s="45" t="s">
        <v>264</v>
      </c>
      <c r="E171" s="44">
        <v>1500000</v>
      </c>
    </row>
    <row r="172" spans="1:5" ht="16.5">
      <c r="A172" s="81">
        <v>814</v>
      </c>
      <c r="B172" s="81">
        <v>361</v>
      </c>
      <c r="C172" s="81">
        <v>6702</v>
      </c>
      <c r="D172" s="45" t="s">
        <v>202</v>
      </c>
      <c r="E172" s="44">
        <v>260000</v>
      </c>
    </row>
    <row r="173" spans="1:5" ht="16.5">
      <c r="A173" s="81">
        <v>814</v>
      </c>
      <c r="B173" s="81">
        <v>361</v>
      </c>
      <c r="C173" s="81">
        <v>6704</v>
      </c>
      <c r="D173" s="45" t="s">
        <v>203</v>
      </c>
      <c r="E173" s="44">
        <v>1440000</v>
      </c>
    </row>
    <row r="174" spans="1:5" ht="16.5">
      <c r="A174" s="81">
        <v>814</v>
      </c>
      <c r="B174" s="81">
        <v>361</v>
      </c>
      <c r="C174" s="81">
        <v>6912</v>
      </c>
      <c r="D174" s="45" t="s">
        <v>236</v>
      </c>
      <c r="E174" s="44">
        <v>2000000</v>
      </c>
    </row>
    <row r="175" spans="1:5" ht="16.5">
      <c r="A175" s="81">
        <v>814</v>
      </c>
      <c r="B175" s="81">
        <v>361</v>
      </c>
      <c r="C175" s="81">
        <v>7049</v>
      </c>
      <c r="D175" s="45" t="s">
        <v>113</v>
      </c>
      <c r="E175" s="44">
        <v>3545000</v>
      </c>
    </row>
    <row r="176" spans="1:5" ht="16.5">
      <c r="A176" s="81">
        <v>814</v>
      </c>
      <c r="B176" s="81">
        <v>361</v>
      </c>
      <c r="C176" s="81">
        <v>7049</v>
      </c>
      <c r="D176" s="45" t="s">
        <v>114</v>
      </c>
      <c r="E176" s="44">
        <v>7200000</v>
      </c>
    </row>
    <row r="177" spans="1:5" ht="16.5">
      <c r="A177" s="81">
        <v>814</v>
      </c>
      <c r="B177" s="81">
        <v>361</v>
      </c>
      <c r="C177" s="81">
        <v>7799</v>
      </c>
      <c r="D177" s="45" t="s">
        <v>167</v>
      </c>
      <c r="E177" s="44">
        <v>2805000</v>
      </c>
    </row>
    <row r="178" spans="1:5" ht="16.5">
      <c r="A178" s="81"/>
      <c r="B178" s="81"/>
      <c r="C178" s="81"/>
      <c r="D178" s="48" t="s">
        <v>173</v>
      </c>
      <c r="E178" s="46">
        <f>SUM(E159:E177)</f>
        <v>95460930</v>
      </c>
    </row>
    <row r="179" spans="1:6" ht="16.5">
      <c r="A179" s="81">
        <v>820</v>
      </c>
      <c r="B179" s="81">
        <v>361</v>
      </c>
      <c r="C179" s="81">
        <v>6001</v>
      </c>
      <c r="D179" s="45" t="s">
        <v>174</v>
      </c>
      <c r="E179" s="44">
        <f>2.66*1490000*12</f>
        <v>47560800</v>
      </c>
      <c r="F179" s="116"/>
    </row>
    <row r="180" spans="1:5" ht="16.5">
      <c r="A180" s="81">
        <v>820</v>
      </c>
      <c r="B180" s="81">
        <v>361</v>
      </c>
      <c r="C180" s="81">
        <v>6101</v>
      </c>
      <c r="D180" s="45" t="s">
        <v>4</v>
      </c>
      <c r="E180" s="44">
        <f>0.2*1490000*12</f>
        <v>3576000</v>
      </c>
    </row>
    <row r="181" spans="1:5" ht="16.5">
      <c r="A181" s="81">
        <v>820</v>
      </c>
      <c r="B181" s="81">
        <v>361</v>
      </c>
      <c r="C181" s="81">
        <v>6124</v>
      </c>
      <c r="D181" s="45" t="s">
        <v>249</v>
      </c>
      <c r="E181" s="44">
        <f>(E179+E180)*25%</f>
        <v>12784200</v>
      </c>
    </row>
    <row r="182" spans="1:5" ht="16.5">
      <c r="A182" s="81">
        <v>820</v>
      </c>
      <c r="B182" s="81">
        <v>361</v>
      </c>
      <c r="C182" s="81">
        <v>6301</v>
      </c>
      <c r="D182" s="45" t="s">
        <v>17</v>
      </c>
      <c r="E182" s="44">
        <f>(E179+E180)*17.5%+(1490000*12*14%)</f>
        <v>11452140</v>
      </c>
    </row>
    <row r="183" spans="1:5" ht="16.5">
      <c r="A183" s="81">
        <v>820</v>
      </c>
      <c r="B183" s="81">
        <v>361</v>
      </c>
      <c r="C183" s="81">
        <v>6302</v>
      </c>
      <c r="D183" s="45" t="s">
        <v>18</v>
      </c>
      <c r="E183" s="44">
        <f>((E179+E180)*3%)+(1490000*12*3%)</f>
        <v>2070504</v>
      </c>
    </row>
    <row r="184" spans="1:5" ht="16.5">
      <c r="A184" s="81">
        <v>820</v>
      </c>
      <c r="B184" s="81">
        <v>361</v>
      </c>
      <c r="C184" s="81">
        <v>6303</v>
      </c>
      <c r="D184" s="45" t="s">
        <v>19</v>
      </c>
      <c r="E184" s="44">
        <f>((E179+E180)+(1490000*12))*2%</f>
        <v>1380336</v>
      </c>
    </row>
    <row r="185" spans="1:5" ht="16.5">
      <c r="A185" s="81">
        <v>820</v>
      </c>
      <c r="B185" s="81">
        <v>361</v>
      </c>
      <c r="C185" s="81">
        <v>6353</v>
      </c>
      <c r="D185" s="45" t="s">
        <v>193</v>
      </c>
      <c r="E185" s="44">
        <f>1490000*12</f>
        <v>17880000</v>
      </c>
    </row>
    <row r="186" spans="1:5" ht="16.5">
      <c r="A186" s="81">
        <v>820</v>
      </c>
      <c r="B186" s="81">
        <v>361</v>
      </c>
      <c r="C186" s="81">
        <v>6353</v>
      </c>
      <c r="D186" s="45" t="s">
        <v>254</v>
      </c>
      <c r="E186" s="44">
        <f>0.5*1490000*12*9</f>
        <v>80460000</v>
      </c>
    </row>
    <row r="187" spans="1:5" ht="16.5">
      <c r="A187" s="81">
        <v>820</v>
      </c>
      <c r="B187" s="81">
        <v>361</v>
      </c>
      <c r="C187" s="81">
        <v>6201</v>
      </c>
      <c r="D187" s="45" t="s">
        <v>30</v>
      </c>
      <c r="E187" s="44">
        <v>1000000</v>
      </c>
    </row>
    <row r="188" spans="1:5" ht="16.5">
      <c r="A188" s="81">
        <v>820</v>
      </c>
      <c r="B188" s="81">
        <v>361</v>
      </c>
      <c r="C188" s="81">
        <v>6299</v>
      </c>
      <c r="D188" s="45" t="s">
        <v>29</v>
      </c>
      <c r="E188" s="44">
        <v>600000</v>
      </c>
    </row>
    <row r="189" spans="1:5" ht="16.5">
      <c r="A189" s="81">
        <v>820</v>
      </c>
      <c r="B189" s="81">
        <v>361</v>
      </c>
      <c r="C189" s="81">
        <v>6551</v>
      </c>
      <c r="D189" s="45" t="s">
        <v>162</v>
      </c>
      <c r="E189" s="44">
        <v>1000000</v>
      </c>
    </row>
    <row r="190" spans="1:5" ht="16.5">
      <c r="A190" s="81">
        <v>820</v>
      </c>
      <c r="B190" s="81">
        <v>361</v>
      </c>
      <c r="C190" s="81">
        <v>6599</v>
      </c>
      <c r="D190" s="45" t="s">
        <v>261</v>
      </c>
      <c r="E190" s="44">
        <v>1000000</v>
      </c>
    </row>
    <row r="191" spans="1:5" ht="16.5">
      <c r="A191" s="81">
        <v>820</v>
      </c>
      <c r="B191" s="81">
        <v>361</v>
      </c>
      <c r="C191" s="81">
        <v>6658</v>
      </c>
      <c r="D191" s="45" t="s">
        <v>191</v>
      </c>
      <c r="E191" s="44">
        <v>2400000</v>
      </c>
    </row>
    <row r="192" spans="1:5" ht="16.5">
      <c r="A192" s="81">
        <v>820</v>
      </c>
      <c r="B192" s="81">
        <v>361</v>
      </c>
      <c r="C192" s="81">
        <v>6699</v>
      </c>
      <c r="D192" s="45" t="s">
        <v>264</v>
      </c>
      <c r="E192" s="44">
        <v>1500000</v>
      </c>
    </row>
    <row r="193" spans="1:5" ht="16.5">
      <c r="A193" s="81">
        <v>820</v>
      </c>
      <c r="B193" s="81">
        <v>361</v>
      </c>
      <c r="C193" s="81">
        <v>6702</v>
      </c>
      <c r="D193" s="45" t="s">
        <v>202</v>
      </c>
      <c r="E193" s="44">
        <v>260000</v>
      </c>
    </row>
    <row r="194" spans="1:5" ht="16.5">
      <c r="A194" s="81">
        <v>820</v>
      </c>
      <c r="B194" s="81">
        <v>361</v>
      </c>
      <c r="C194" s="81">
        <v>6704</v>
      </c>
      <c r="D194" s="45" t="s">
        <v>203</v>
      </c>
      <c r="E194" s="44">
        <v>1440000</v>
      </c>
    </row>
    <row r="195" spans="1:5" ht="16.5">
      <c r="A195" s="81">
        <v>820</v>
      </c>
      <c r="B195" s="81">
        <v>361</v>
      </c>
      <c r="C195" s="81">
        <v>6912</v>
      </c>
      <c r="D195" s="45" t="s">
        <v>236</v>
      </c>
      <c r="E195" s="44">
        <v>2000000</v>
      </c>
    </row>
    <row r="196" spans="1:5" ht="16.5">
      <c r="A196" s="81">
        <v>820</v>
      </c>
      <c r="B196" s="81">
        <v>361</v>
      </c>
      <c r="C196" s="81">
        <v>7049</v>
      </c>
      <c r="D196" s="45" t="s">
        <v>113</v>
      </c>
      <c r="E196" s="44">
        <v>3545000</v>
      </c>
    </row>
    <row r="197" spans="1:5" ht="16.5">
      <c r="A197" s="81">
        <v>820</v>
      </c>
      <c r="B197" s="81">
        <v>361</v>
      </c>
      <c r="C197" s="81">
        <v>7049</v>
      </c>
      <c r="D197" s="45" t="s">
        <v>114</v>
      </c>
      <c r="E197" s="44">
        <v>7200000</v>
      </c>
    </row>
    <row r="198" spans="1:5" ht="16.5">
      <c r="A198" s="81">
        <v>820</v>
      </c>
      <c r="B198" s="81">
        <v>361</v>
      </c>
      <c r="C198" s="81">
        <v>7799</v>
      </c>
      <c r="D198" s="45" t="s">
        <v>167</v>
      </c>
      <c r="E198" s="44">
        <v>2805000</v>
      </c>
    </row>
    <row r="199" spans="1:5" ht="16.5">
      <c r="A199" s="81"/>
      <c r="B199" s="81"/>
      <c r="C199" s="81"/>
      <c r="D199" s="48" t="s">
        <v>175</v>
      </c>
      <c r="E199" s="46">
        <f>SUM(E179:E198)</f>
        <v>201913980</v>
      </c>
    </row>
    <row r="200" spans="1:5" ht="16.5">
      <c r="A200" s="127" t="s">
        <v>237</v>
      </c>
      <c r="B200" s="127"/>
      <c r="C200" s="127"/>
      <c r="D200" s="127"/>
      <c r="E200" s="46">
        <f>SUM(E223)</f>
        <v>554785670</v>
      </c>
    </row>
    <row r="201" spans="1:5" ht="16.5">
      <c r="A201" s="81">
        <v>819</v>
      </c>
      <c r="B201" s="81">
        <v>351</v>
      </c>
      <c r="C201" s="81">
        <v>6001</v>
      </c>
      <c r="D201" s="45" t="s">
        <v>176</v>
      </c>
      <c r="E201" s="44">
        <f>((2.86+3.66)*1490000*12)</f>
        <v>116577600</v>
      </c>
    </row>
    <row r="202" spans="1:5" ht="16.5">
      <c r="A202" s="81">
        <v>819</v>
      </c>
      <c r="B202" s="81">
        <v>351</v>
      </c>
      <c r="C202" s="81">
        <v>6101</v>
      </c>
      <c r="D202" s="45" t="s">
        <v>4</v>
      </c>
      <c r="E202" s="44">
        <f>(0.3+0.25)*1490000*12</f>
        <v>9834000.000000002</v>
      </c>
    </row>
    <row r="203" spans="1:5" ht="16.5">
      <c r="A203" s="81">
        <v>819</v>
      </c>
      <c r="B203" s="81">
        <v>351</v>
      </c>
      <c r="C203" s="81">
        <v>6124</v>
      </c>
      <c r="D203" s="45" t="s">
        <v>249</v>
      </c>
      <c r="E203" s="44">
        <f>(E201+E202)*25%</f>
        <v>31602900</v>
      </c>
    </row>
    <row r="204" spans="1:5" ht="16.5">
      <c r="A204" s="81">
        <v>819</v>
      </c>
      <c r="B204" s="81">
        <v>351</v>
      </c>
      <c r="C204" s="81">
        <v>6301</v>
      </c>
      <c r="D204" s="45" t="s">
        <v>20</v>
      </c>
      <c r="E204" s="44">
        <f>(E201+E202)*17.5%+(1490000*2*12*14%)</f>
        <v>27128430</v>
      </c>
    </row>
    <row r="205" spans="1:5" ht="16.5">
      <c r="A205" s="81">
        <v>819</v>
      </c>
      <c r="B205" s="81">
        <v>351</v>
      </c>
      <c r="C205" s="81">
        <v>6302</v>
      </c>
      <c r="D205" s="45" t="s">
        <v>21</v>
      </c>
      <c r="E205" s="44">
        <f>((E201+E202)*3%)+(1490000*2*12*3%)</f>
        <v>4865148</v>
      </c>
    </row>
    <row r="206" spans="1:5" ht="16.5">
      <c r="A206" s="81">
        <v>819</v>
      </c>
      <c r="B206" s="81">
        <v>351</v>
      </c>
      <c r="C206" s="81">
        <v>6303</v>
      </c>
      <c r="D206" s="45" t="s">
        <v>22</v>
      </c>
      <c r="E206" s="44">
        <f>(E201+E202)*2%+(1490000*2*12*2%)</f>
        <v>3243432</v>
      </c>
    </row>
    <row r="207" spans="1:5" ht="16.5">
      <c r="A207" s="81">
        <v>819</v>
      </c>
      <c r="B207" s="81">
        <v>351</v>
      </c>
      <c r="C207" s="81"/>
      <c r="D207" s="45" t="s">
        <v>378</v>
      </c>
      <c r="E207" s="44">
        <f>(2.86+0.3)*20%*1490000*12</f>
        <v>11300160</v>
      </c>
    </row>
    <row r="208" spans="1:5" ht="16.5">
      <c r="A208" s="81">
        <v>819</v>
      </c>
      <c r="B208" s="81">
        <v>351</v>
      </c>
      <c r="C208" s="81">
        <v>6353</v>
      </c>
      <c r="D208" s="45" t="s">
        <v>177</v>
      </c>
      <c r="E208" s="44">
        <f>(1.8+2+0.7+0.7)*1490000*12</f>
        <v>92976000</v>
      </c>
    </row>
    <row r="209" spans="1:5" ht="16.5">
      <c r="A209" s="81">
        <v>819</v>
      </c>
      <c r="B209" s="81">
        <v>351</v>
      </c>
      <c r="C209" s="81">
        <v>6353</v>
      </c>
      <c r="D209" s="47" t="s">
        <v>221</v>
      </c>
      <c r="E209" s="44">
        <f>8.35*1490000*12</f>
        <v>149298000</v>
      </c>
    </row>
    <row r="210" spans="1:5" ht="16.5">
      <c r="A210" s="81">
        <v>819</v>
      </c>
      <c r="B210" s="81">
        <v>351</v>
      </c>
      <c r="C210" s="81">
        <v>6201</v>
      </c>
      <c r="D210" s="45" t="s">
        <v>30</v>
      </c>
      <c r="E210" s="44">
        <v>2000000</v>
      </c>
    </row>
    <row r="211" spans="1:5" ht="16.5">
      <c r="A211" s="81">
        <v>819</v>
      </c>
      <c r="B211" s="81">
        <v>351</v>
      </c>
      <c r="C211" s="81">
        <v>6299</v>
      </c>
      <c r="D211" s="45" t="s">
        <v>5</v>
      </c>
      <c r="E211" s="44">
        <v>800000</v>
      </c>
    </row>
    <row r="212" spans="1:5" ht="16.5">
      <c r="A212" s="81">
        <v>819</v>
      </c>
      <c r="B212" s="81">
        <v>351</v>
      </c>
      <c r="C212" s="81">
        <v>6551</v>
      </c>
      <c r="D212" s="45" t="s">
        <v>162</v>
      </c>
      <c r="E212" s="44">
        <v>2000000</v>
      </c>
    </row>
    <row r="213" spans="1:5" ht="16.5">
      <c r="A213" s="81">
        <v>819</v>
      </c>
      <c r="B213" s="81">
        <v>351</v>
      </c>
      <c r="C213" s="81">
        <v>6599</v>
      </c>
      <c r="D213" s="45" t="s">
        <v>261</v>
      </c>
      <c r="E213" s="44">
        <v>1500000</v>
      </c>
    </row>
    <row r="214" spans="1:5" ht="16.5">
      <c r="A214" s="81">
        <v>819</v>
      </c>
      <c r="B214" s="81">
        <v>351</v>
      </c>
      <c r="C214" s="81">
        <v>6658</v>
      </c>
      <c r="D214" s="45" t="s">
        <v>191</v>
      </c>
      <c r="E214" s="44">
        <v>4000000</v>
      </c>
    </row>
    <row r="215" spans="1:5" ht="16.5">
      <c r="A215" s="81">
        <v>819</v>
      </c>
      <c r="B215" s="81">
        <v>351</v>
      </c>
      <c r="C215" s="81">
        <v>6699</v>
      </c>
      <c r="D215" s="45" t="s">
        <v>264</v>
      </c>
      <c r="E215" s="44">
        <v>2000000</v>
      </c>
    </row>
    <row r="216" spans="1:5" ht="16.5">
      <c r="A216" s="81">
        <v>819</v>
      </c>
      <c r="B216" s="81">
        <v>351</v>
      </c>
      <c r="C216" s="81">
        <v>6702</v>
      </c>
      <c r="D216" s="45" t="s">
        <v>202</v>
      </c>
      <c r="E216" s="44">
        <v>400000</v>
      </c>
    </row>
    <row r="217" spans="1:5" ht="16.5">
      <c r="A217" s="81">
        <v>819</v>
      </c>
      <c r="B217" s="81">
        <v>351</v>
      </c>
      <c r="C217" s="81">
        <v>6704</v>
      </c>
      <c r="D217" s="45" t="s">
        <v>203</v>
      </c>
      <c r="E217" s="44">
        <f>150000*3*12</f>
        <v>5400000</v>
      </c>
    </row>
    <row r="218" spans="1:5" ht="16.5">
      <c r="A218" s="81">
        <v>819</v>
      </c>
      <c r="B218" s="81">
        <v>351</v>
      </c>
      <c r="C218" s="81">
        <v>6912</v>
      </c>
      <c r="D218" s="45" t="s">
        <v>236</v>
      </c>
      <c r="E218" s="44">
        <v>2000000</v>
      </c>
    </row>
    <row r="219" spans="1:5" ht="16.5">
      <c r="A219" s="81">
        <v>819</v>
      </c>
      <c r="B219" s="81">
        <v>351</v>
      </c>
      <c r="C219" s="81">
        <v>7049</v>
      </c>
      <c r="D219" s="45" t="s">
        <v>113</v>
      </c>
      <c r="E219" s="44">
        <f>4400000</f>
        <v>4400000</v>
      </c>
    </row>
    <row r="220" spans="1:5" ht="16.5">
      <c r="A220" s="81">
        <v>819</v>
      </c>
      <c r="B220" s="81">
        <v>351</v>
      </c>
      <c r="C220" s="81">
        <v>7761</v>
      </c>
      <c r="D220" s="45" t="s">
        <v>189</v>
      </c>
      <c r="E220" s="44">
        <v>2000000</v>
      </c>
    </row>
    <row r="221" spans="1:5" ht="16.5">
      <c r="A221" s="81">
        <v>819</v>
      </c>
      <c r="B221" s="81">
        <v>351</v>
      </c>
      <c r="C221" s="81">
        <v>7799</v>
      </c>
      <c r="D221" s="45" t="s">
        <v>167</v>
      </c>
      <c r="E221" s="44">
        <v>1000000</v>
      </c>
    </row>
    <row r="222" spans="1:5" ht="16.5">
      <c r="A222" s="81">
        <v>819</v>
      </c>
      <c r="B222" s="81">
        <v>351</v>
      </c>
      <c r="C222" s="81">
        <v>7854</v>
      </c>
      <c r="D222" s="47" t="s">
        <v>222</v>
      </c>
      <c r="E222" s="44">
        <f>0.3*1490000*12*15</f>
        <v>80460000</v>
      </c>
    </row>
    <row r="223" spans="1:5" ht="16.5">
      <c r="A223" s="81"/>
      <c r="B223" s="81"/>
      <c r="C223" s="81"/>
      <c r="D223" s="48" t="s">
        <v>178</v>
      </c>
      <c r="E223" s="46">
        <f>SUM(E201:E222)</f>
        <v>554785670</v>
      </c>
    </row>
    <row r="224" spans="1:5" ht="16.5">
      <c r="A224" s="127" t="s">
        <v>184</v>
      </c>
      <c r="B224" s="127"/>
      <c r="C224" s="127"/>
      <c r="D224" s="127"/>
      <c r="E224" s="46">
        <f>SUM(E229)</f>
        <v>66000000</v>
      </c>
    </row>
    <row r="225" spans="1:5" ht="16.5">
      <c r="A225" s="81">
        <v>823</v>
      </c>
      <c r="B225" s="81">
        <v>139</v>
      </c>
      <c r="C225" s="39">
        <v>6353</v>
      </c>
      <c r="D225" s="40" t="s">
        <v>242</v>
      </c>
      <c r="E225" s="44">
        <f>0.3*1490000*9*12</f>
        <v>48276000</v>
      </c>
    </row>
    <row r="226" spans="1:5" ht="16.5">
      <c r="A226" s="81">
        <v>823</v>
      </c>
      <c r="B226" s="81">
        <v>139</v>
      </c>
      <c r="C226" s="39">
        <v>6699</v>
      </c>
      <c r="D226" s="40" t="s">
        <v>167</v>
      </c>
      <c r="E226" s="44">
        <v>4000000</v>
      </c>
    </row>
    <row r="227" spans="1:5" ht="16.5">
      <c r="A227" s="81">
        <v>823</v>
      </c>
      <c r="B227" s="81">
        <v>139</v>
      </c>
      <c r="C227" s="81">
        <v>7049</v>
      </c>
      <c r="D227" s="45" t="s">
        <v>113</v>
      </c>
      <c r="E227" s="44">
        <v>9724000</v>
      </c>
    </row>
    <row r="228" spans="1:5" ht="16.5">
      <c r="A228" s="81">
        <v>823</v>
      </c>
      <c r="B228" s="81">
        <v>139</v>
      </c>
      <c r="C228" s="81">
        <v>7799</v>
      </c>
      <c r="D228" s="45" t="s">
        <v>167</v>
      </c>
      <c r="E228" s="44">
        <v>4000000</v>
      </c>
    </row>
    <row r="229" spans="1:5" ht="16.5">
      <c r="A229" s="81"/>
      <c r="B229" s="81"/>
      <c r="C229" s="81"/>
      <c r="D229" s="48" t="s">
        <v>179</v>
      </c>
      <c r="E229" s="46">
        <f>SUM(E225:E228)</f>
        <v>66000000</v>
      </c>
    </row>
    <row r="230" spans="1:5" ht="16.5">
      <c r="A230" s="127" t="s">
        <v>185</v>
      </c>
      <c r="B230" s="127"/>
      <c r="C230" s="127"/>
      <c r="D230" s="127"/>
      <c r="E230" s="46">
        <f>SUM(E232)</f>
        <v>18000000</v>
      </c>
    </row>
    <row r="231" spans="1:5" ht="16.5">
      <c r="A231" s="81">
        <v>860</v>
      </c>
      <c r="B231" s="81">
        <v>428</v>
      </c>
      <c r="C231" s="81">
        <v>7799</v>
      </c>
      <c r="D231" s="49" t="s">
        <v>223</v>
      </c>
      <c r="E231" s="44">
        <v>18000000</v>
      </c>
    </row>
    <row r="232" spans="1:5" ht="16.5">
      <c r="A232" s="81"/>
      <c r="B232" s="81"/>
      <c r="C232" s="81"/>
      <c r="D232" s="48" t="s">
        <v>126</v>
      </c>
      <c r="E232" s="46">
        <f>SUM(E231:E231)</f>
        <v>18000000</v>
      </c>
    </row>
    <row r="233" spans="1:5" ht="16.5">
      <c r="A233" s="123" t="s">
        <v>364</v>
      </c>
      <c r="B233" s="128"/>
      <c r="C233" s="124"/>
      <c r="D233" s="48"/>
      <c r="E233" s="46">
        <f>SUM(E235)</f>
        <v>31500000</v>
      </c>
    </row>
    <row r="234" spans="1:5" ht="16.5">
      <c r="A234" s="81">
        <v>860</v>
      </c>
      <c r="B234" s="117" t="s">
        <v>365</v>
      </c>
      <c r="C234" s="81">
        <v>6155</v>
      </c>
      <c r="D234" s="45" t="s">
        <v>224</v>
      </c>
      <c r="E234" s="44">
        <v>31500000</v>
      </c>
    </row>
    <row r="235" spans="1:5" ht="16.5">
      <c r="A235" s="81"/>
      <c r="B235" s="81"/>
      <c r="C235" s="81"/>
      <c r="D235" s="48" t="s">
        <v>180</v>
      </c>
      <c r="E235" s="46">
        <f>SUM(E234)</f>
        <v>31500000</v>
      </c>
    </row>
    <row r="236" spans="1:5" ht="16.5">
      <c r="A236" s="127" t="s">
        <v>186</v>
      </c>
      <c r="B236" s="127"/>
      <c r="C236" s="127"/>
      <c r="D236" s="127"/>
      <c r="E236" s="46">
        <f>SUM(E240)</f>
        <v>27000000</v>
      </c>
    </row>
    <row r="237" spans="1:5" ht="16.5">
      <c r="A237" s="81">
        <v>860</v>
      </c>
      <c r="B237" s="81">
        <v>398</v>
      </c>
      <c r="C237" s="81">
        <v>7157</v>
      </c>
      <c r="D237" s="49" t="s">
        <v>125</v>
      </c>
      <c r="E237" s="44">
        <v>15000000</v>
      </c>
    </row>
    <row r="238" spans="1:5" ht="16.5">
      <c r="A238" s="81">
        <v>860</v>
      </c>
      <c r="B238" s="81">
        <v>398</v>
      </c>
      <c r="C238" s="81">
        <v>7499</v>
      </c>
      <c r="D238" s="49" t="s">
        <v>168</v>
      </c>
      <c r="E238" s="44">
        <v>10000000</v>
      </c>
    </row>
    <row r="239" spans="1:5" ht="16.5">
      <c r="A239" s="81">
        <v>860</v>
      </c>
      <c r="B239" s="81">
        <v>398</v>
      </c>
      <c r="C239" s="81">
        <v>7799</v>
      </c>
      <c r="D239" s="49" t="s">
        <v>226</v>
      </c>
      <c r="E239" s="44">
        <v>2000000</v>
      </c>
    </row>
    <row r="240" spans="1:5" ht="16.5">
      <c r="A240" s="81"/>
      <c r="B240" s="81"/>
      <c r="C240" s="81"/>
      <c r="D240" s="48" t="s">
        <v>187</v>
      </c>
      <c r="E240" s="46">
        <f>SUM(E237:E239)</f>
        <v>27000000</v>
      </c>
    </row>
    <row r="241" spans="1:5" ht="16.5">
      <c r="A241" s="123" t="s">
        <v>138</v>
      </c>
      <c r="B241" s="124"/>
      <c r="C241" s="81"/>
      <c r="D241" s="118"/>
      <c r="E241" s="46">
        <f>E7</f>
        <v>3837000000</v>
      </c>
    </row>
    <row r="242" ht="5.25" customHeight="1">
      <c r="E242" s="116"/>
    </row>
    <row r="243" spans="1:5" ht="17.25">
      <c r="A243" s="125" t="s">
        <v>404</v>
      </c>
      <c r="B243" s="125"/>
      <c r="C243" s="125"/>
      <c r="D243" s="125"/>
      <c r="E243" s="125"/>
    </row>
    <row r="245" spans="1:5" ht="16.5">
      <c r="A245" s="33" t="s">
        <v>2</v>
      </c>
      <c r="B245" s="33"/>
      <c r="C245" s="33"/>
      <c r="D245" s="33"/>
      <c r="E245" s="33"/>
    </row>
    <row r="246" spans="1:5" ht="18.75">
      <c r="A246" s="11"/>
      <c r="B246" s="9"/>
      <c r="C246" s="9"/>
      <c r="D246" s="9"/>
      <c r="E246" s="9"/>
    </row>
    <row r="247" spans="1:5" ht="18.75">
      <c r="A247" s="11"/>
      <c r="B247" s="9"/>
      <c r="C247" s="9"/>
      <c r="D247" s="9"/>
      <c r="E247" s="9"/>
    </row>
    <row r="248" spans="1:5" ht="18.75">
      <c r="A248" s="11"/>
      <c r="B248" s="9"/>
      <c r="C248" s="9"/>
      <c r="D248" s="9"/>
      <c r="E248" s="9"/>
    </row>
    <row r="249" spans="1:5" ht="18.75">
      <c r="A249" s="11"/>
      <c r="B249" s="9"/>
      <c r="C249" s="9"/>
      <c r="D249" s="9"/>
      <c r="E249" s="9"/>
    </row>
    <row r="250" spans="1:5" ht="18.75">
      <c r="A250" s="31"/>
      <c r="B250" s="9"/>
      <c r="C250" s="9"/>
      <c r="D250" s="9"/>
      <c r="E250" s="9"/>
    </row>
    <row r="251" spans="1:5" ht="17.25">
      <c r="A251" s="52" t="s">
        <v>403</v>
      </c>
      <c r="B251" s="52"/>
      <c r="C251" s="52"/>
      <c r="D251" s="52"/>
      <c r="E251" s="52"/>
    </row>
    <row r="252" spans="1:5" ht="17.25">
      <c r="A252" s="52"/>
      <c r="B252" s="52"/>
      <c r="C252" s="52"/>
      <c r="D252" s="52"/>
      <c r="E252" s="52"/>
    </row>
    <row r="253" spans="1:5" ht="17.25">
      <c r="A253" s="52"/>
      <c r="B253" s="52"/>
      <c r="C253" s="52"/>
      <c r="D253" s="52"/>
      <c r="E253" s="52"/>
    </row>
    <row r="254" spans="1:5" ht="17.25">
      <c r="A254" s="52"/>
      <c r="B254" s="52"/>
      <c r="C254" s="52"/>
      <c r="D254" s="52"/>
      <c r="E254" s="52"/>
    </row>
    <row r="255" spans="1:5" ht="17.25">
      <c r="A255" s="52"/>
      <c r="B255" s="52"/>
      <c r="C255" s="52"/>
      <c r="D255" s="52"/>
      <c r="E255" s="52"/>
    </row>
    <row r="256" spans="1:5" ht="17.25">
      <c r="A256" s="52"/>
      <c r="B256" s="52"/>
      <c r="C256" s="52"/>
      <c r="D256" s="52"/>
      <c r="E256" s="52"/>
    </row>
    <row r="257" spans="1:5" ht="17.25">
      <c r="A257" s="52"/>
      <c r="B257" s="52"/>
      <c r="C257" s="52"/>
      <c r="D257" s="52"/>
      <c r="E257" s="52"/>
    </row>
    <row r="258" spans="1:5" ht="17.25">
      <c r="A258" s="52"/>
      <c r="B258" s="52"/>
      <c r="C258" s="52"/>
      <c r="D258" s="52"/>
      <c r="E258" s="52"/>
    </row>
    <row r="259" spans="1:5" ht="17.25">
      <c r="A259" s="52"/>
      <c r="B259" s="52"/>
      <c r="C259" s="52"/>
      <c r="D259" s="52"/>
      <c r="E259" s="52"/>
    </row>
    <row r="260" spans="1:5" ht="17.25">
      <c r="A260" s="52"/>
      <c r="B260" s="52"/>
      <c r="C260" s="52"/>
      <c r="D260" s="52"/>
      <c r="E260" s="52"/>
    </row>
    <row r="261" spans="1:5" ht="17.25">
      <c r="A261" s="52"/>
      <c r="B261" s="52"/>
      <c r="C261" s="52"/>
      <c r="D261" s="52"/>
      <c r="E261" s="52"/>
    </row>
    <row r="262" spans="1:5" ht="17.25">
      <c r="A262" s="52"/>
      <c r="B262" s="52"/>
      <c r="C262" s="52"/>
      <c r="D262" s="52"/>
      <c r="E262" s="52"/>
    </row>
    <row r="263" spans="1:5" ht="17.25">
      <c r="A263" s="52"/>
      <c r="B263" s="52"/>
      <c r="C263" s="52"/>
      <c r="D263" s="52"/>
      <c r="E263" s="52"/>
    </row>
    <row r="264" spans="1:5" ht="17.25">
      <c r="A264" s="52"/>
      <c r="B264" s="52"/>
      <c r="C264" s="52"/>
      <c r="D264" s="52"/>
      <c r="E264" s="52"/>
    </row>
    <row r="265" spans="1:5" ht="17.25">
      <c r="A265" s="52"/>
      <c r="B265" s="52"/>
      <c r="C265" s="52"/>
      <c r="D265" s="52"/>
      <c r="E265" s="52"/>
    </row>
    <row r="266" spans="1:5" ht="17.25">
      <c r="A266" s="52"/>
      <c r="B266" s="52"/>
      <c r="C266" s="52"/>
      <c r="D266" s="52"/>
      <c r="E266" s="52"/>
    </row>
    <row r="267" spans="1:5" ht="17.25">
      <c r="A267" s="52"/>
      <c r="B267" s="52"/>
      <c r="C267" s="52"/>
      <c r="D267" s="52"/>
      <c r="E267" s="52"/>
    </row>
    <row r="268" spans="1:5" ht="17.25">
      <c r="A268" s="52"/>
      <c r="B268" s="52"/>
      <c r="C268" s="52"/>
      <c r="D268" s="52"/>
      <c r="E268" s="52"/>
    </row>
    <row r="269" spans="1:5" ht="17.25">
      <c r="A269" s="52"/>
      <c r="B269" s="52"/>
      <c r="C269" s="52"/>
      <c r="D269" s="52"/>
      <c r="E269" s="52"/>
    </row>
    <row r="270" spans="1:5" ht="17.25">
      <c r="A270" s="52"/>
      <c r="B270" s="52"/>
      <c r="C270" s="52"/>
      <c r="D270" s="52"/>
      <c r="E270" s="52"/>
    </row>
    <row r="271" spans="1:5" ht="17.25">
      <c r="A271" s="52"/>
      <c r="B271" s="52"/>
      <c r="C271" s="52"/>
      <c r="D271" s="52"/>
      <c r="E271" s="52"/>
    </row>
    <row r="272" spans="1:5" ht="17.25">
      <c r="A272" s="52"/>
      <c r="B272" s="52"/>
      <c r="C272" s="52"/>
      <c r="D272" s="52"/>
      <c r="E272" s="52"/>
    </row>
    <row r="273" spans="1:5" ht="17.25">
      <c r="A273" s="52"/>
      <c r="B273" s="52"/>
      <c r="C273" s="52"/>
      <c r="D273" s="52"/>
      <c r="E273" s="52"/>
    </row>
    <row r="274" spans="1:5" ht="17.25">
      <c r="A274" s="52"/>
      <c r="B274" s="52"/>
      <c r="C274" s="52"/>
      <c r="D274" s="52"/>
      <c r="E274" s="52"/>
    </row>
    <row r="282" spans="1:5" ht="18.75">
      <c r="A282" s="126" t="s">
        <v>134</v>
      </c>
      <c r="B282" s="126"/>
      <c r="C282" s="9"/>
      <c r="D282" s="126" t="s">
        <v>346</v>
      </c>
      <c r="E282" s="126"/>
    </row>
    <row r="283" spans="1:5" ht="18.75">
      <c r="A283" s="126" t="s">
        <v>141</v>
      </c>
      <c r="B283" s="126"/>
      <c r="C283" s="9"/>
      <c r="D283" s="126" t="s">
        <v>149</v>
      </c>
      <c r="E283" s="126"/>
    </row>
    <row r="284" spans="1:5" ht="18.75">
      <c r="A284" s="9"/>
      <c r="B284" s="9"/>
      <c r="C284" s="9"/>
      <c r="D284" s="9"/>
      <c r="E284" s="9"/>
    </row>
    <row r="285" spans="1:5" ht="20.25">
      <c r="A285" s="121" t="s">
        <v>392</v>
      </c>
      <c r="B285" s="121"/>
      <c r="C285" s="121"/>
      <c r="D285" s="121"/>
      <c r="E285" s="121"/>
    </row>
    <row r="286" spans="1:5" ht="18.75">
      <c r="A286" s="122" t="s">
        <v>150</v>
      </c>
      <c r="B286" s="122"/>
      <c r="C286" s="122"/>
      <c r="D286" s="122"/>
      <c r="E286" s="122"/>
    </row>
    <row r="287" spans="1:5" ht="31.5">
      <c r="A287" s="26" t="s">
        <v>216</v>
      </c>
      <c r="B287" s="26" t="s">
        <v>217</v>
      </c>
      <c r="C287" s="26" t="s">
        <v>218</v>
      </c>
      <c r="D287" s="42" t="s">
        <v>148</v>
      </c>
      <c r="E287" s="42" t="s">
        <v>142</v>
      </c>
    </row>
    <row r="288" spans="1:5" ht="16.5">
      <c r="A288" s="123" t="s">
        <v>186</v>
      </c>
      <c r="B288" s="124"/>
      <c r="C288" s="81"/>
      <c r="D288" s="48"/>
      <c r="E288" s="46">
        <f>SUM(E290)</f>
        <v>53400000</v>
      </c>
    </row>
    <row r="289" spans="1:5" ht="16.5">
      <c r="A289" s="81">
        <v>860</v>
      </c>
      <c r="B289" s="81">
        <v>398</v>
      </c>
      <c r="C289" s="81">
        <v>7449</v>
      </c>
      <c r="D289" s="45" t="s">
        <v>127</v>
      </c>
      <c r="E289" s="41">
        <v>53400000</v>
      </c>
    </row>
    <row r="290" spans="1:5" ht="16.5">
      <c r="A290" s="81"/>
      <c r="B290" s="81"/>
      <c r="C290" s="81"/>
      <c r="D290" s="48" t="s">
        <v>187</v>
      </c>
      <c r="E290" s="46">
        <f>SUM(E289)</f>
        <v>53400000</v>
      </c>
    </row>
    <row r="291" spans="1:5" ht="16.5">
      <c r="A291" s="81"/>
      <c r="B291" s="81"/>
      <c r="C291" s="81"/>
      <c r="D291" s="118" t="s">
        <v>394</v>
      </c>
      <c r="E291" s="46">
        <f>E288</f>
        <v>53400000</v>
      </c>
    </row>
    <row r="292" ht="12.75">
      <c r="E292" s="116"/>
    </row>
    <row r="293" spans="1:5" ht="17.25">
      <c r="A293" s="125" t="s">
        <v>393</v>
      </c>
      <c r="B293" s="125"/>
      <c r="C293" s="125"/>
      <c r="D293" s="125"/>
      <c r="E293" s="125"/>
    </row>
    <row r="295" spans="1:5" ht="16.5">
      <c r="A295" s="33" t="s">
        <v>2</v>
      </c>
      <c r="B295" s="33"/>
      <c r="C295" s="33"/>
      <c r="D295" s="33"/>
      <c r="E295" s="33"/>
    </row>
    <row r="296" spans="1:5" ht="18.75">
      <c r="A296" s="11"/>
      <c r="B296" s="9"/>
      <c r="C296" s="9"/>
      <c r="D296" s="9"/>
      <c r="E296" s="9"/>
    </row>
    <row r="297" spans="1:5" ht="18.75">
      <c r="A297" s="11"/>
      <c r="B297" s="9"/>
      <c r="C297" s="9"/>
      <c r="D297" s="9"/>
      <c r="E297" s="9"/>
    </row>
    <row r="298" spans="1:5" ht="18.75">
      <c r="A298" s="11"/>
      <c r="B298" s="9"/>
      <c r="C298" s="9"/>
      <c r="D298" s="9"/>
      <c r="E298" s="9"/>
    </row>
    <row r="299" spans="1:5" ht="18.75">
      <c r="A299" s="11"/>
      <c r="B299" s="9"/>
      <c r="C299" s="9"/>
      <c r="D299" s="9"/>
      <c r="E299" s="9"/>
    </row>
    <row r="300" spans="1:5" ht="18.75">
      <c r="A300" s="31"/>
      <c r="B300" s="9"/>
      <c r="C300" s="9"/>
      <c r="D300" s="9"/>
      <c r="E300" s="9"/>
    </row>
    <row r="301" spans="1:5" ht="17.25">
      <c r="A301" s="52" t="s">
        <v>395</v>
      </c>
      <c r="B301" s="52"/>
      <c r="C301" s="52"/>
      <c r="D301" s="52"/>
      <c r="E301" s="52"/>
    </row>
  </sheetData>
  <sheetProtection/>
  <mergeCells count="28">
    <mergeCell ref="A1:B1"/>
    <mergeCell ref="D1:E1"/>
    <mergeCell ref="A2:B2"/>
    <mergeCell ref="D2:E2"/>
    <mergeCell ref="A4:E4"/>
    <mergeCell ref="A5:E5"/>
    <mergeCell ref="A7:C7"/>
    <mergeCell ref="A8:D8"/>
    <mergeCell ref="A60:D60"/>
    <mergeCell ref="A64:D64"/>
    <mergeCell ref="A73:D73"/>
    <mergeCell ref="A84:D84"/>
    <mergeCell ref="A98:D98"/>
    <mergeCell ref="A200:D200"/>
    <mergeCell ref="A224:D224"/>
    <mergeCell ref="A230:D230"/>
    <mergeCell ref="A233:C233"/>
    <mergeCell ref="A236:D236"/>
    <mergeCell ref="A285:E285"/>
    <mergeCell ref="A286:E286"/>
    <mergeCell ref="A288:B288"/>
    <mergeCell ref="A293:E293"/>
    <mergeCell ref="A241:B241"/>
    <mergeCell ref="A243:E243"/>
    <mergeCell ref="A282:B282"/>
    <mergeCell ref="D282:E282"/>
    <mergeCell ref="A283:B283"/>
    <mergeCell ref="D283:E283"/>
  </mergeCells>
  <printOptions/>
  <pageMargins left="1" right="0.25" top="0.25" bottom="0.2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150" zoomScaleNormal="150" zoomScaleSheetLayoutView="150" zoomScalePageLayoutView="0" workbookViewId="0" topLeftCell="A1">
      <selection activeCell="D13" sqref="D13"/>
    </sheetView>
  </sheetViews>
  <sheetFormatPr defaultColWidth="9.140625" defaultRowHeight="12.75"/>
  <cols>
    <col min="1" max="1" width="6.421875" style="0" customWidth="1"/>
    <col min="2" max="2" width="29.140625" style="0" customWidth="1"/>
    <col min="3" max="3" width="19.421875" style="0" customWidth="1"/>
    <col min="4" max="4" width="17.140625" style="0" customWidth="1"/>
    <col min="5" max="5" width="18.8515625" style="0" customWidth="1"/>
  </cols>
  <sheetData>
    <row r="1" spans="1:5" ht="16.5">
      <c r="A1" s="33" t="s">
        <v>86</v>
      </c>
      <c r="B1" s="33"/>
      <c r="C1" s="33"/>
      <c r="D1" s="33"/>
      <c r="E1" s="33"/>
    </row>
    <row r="2" spans="1:5" ht="16.5">
      <c r="A2" s="33" t="s">
        <v>87</v>
      </c>
      <c r="B2" s="33"/>
      <c r="C2" s="33"/>
      <c r="D2" s="33"/>
      <c r="E2" s="33"/>
    </row>
    <row r="3" spans="1:5" ht="16.5">
      <c r="A3" s="33"/>
      <c r="B3" s="33"/>
      <c r="C3" s="33"/>
      <c r="D3" s="33"/>
      <c r="E3" s="33"/>
    </row>
    <row r="4" spans="1:5" ht="19.5">
      <c r="A4" s="135" t="s">
        <v>119</v>
      </c>
      <c r="B4" s="135"/>
      <c r="C4" s="135"/>
      <c r="D4" s="135"/>
      <c r="E4" s="135"/>
    </row>
    <row r="5" spans="1:5" ht="18.75">
      <c r="A5" s="136" t="s">
        <v>396</v>
      </c>
      <c r="B5" s="136"/>
      <c r="C5" s="136"/>
      <c r="D5" s="136"/>
      <c r="E5" s="136"/>
    </row>
    <row r="6" spans="1:5" ht="18.75">
      <c r="A6" s="53"/>
      <c r="B6" s="53"/>
      <c r="C6" s="53"/>
      <c r="D6" s="53"/>
      <c r="E6" s="53"/>
    </row>
    <row r="7" spans="1:5" ht="16.5">
      <c r="A7" s="95" t="s">
        <v>372</v>
      </c>
      <c r="B7" s="91" t="s">
        <v>98</v>
      </c>
      <c r="C7" s="91" t="s">
        <v>273</v>
      </c>
      <c r="D7" s="95" t="s">
        <v>280</v>
      </c>
      <c r="E7" s="95" t="s">
        <v>101</v>
      </c>
    </row>
    <row r="8" spans="1:5" ht="16.5">
      <c r="A8" s="110">
        <v>1</v>
      </c>
      <c r="B8" s="14" t="s">
        <v>359</v>
      </c>
      <c r="C8" s="14" t="s">
        <v>123</v>
      </c>
      <c r="D8" s="112">
        <f>0.3*1300000</f>
        <v>390000</v>
      </c>
      <c r="E8" s="14"/>
    </row>
    <row r="9" spans="1:5" ht="16.5">
      <c r="A9" s="110">
        <v>2</v>
      </c>
      <c r="B9" s="14" t="s">
        <v>318</v>
      </c>
      <c r="C9" s="14" t="s">
        <v>123</v>
      </c>
      <c r="D9" s="112">
        <f aca="true" t="shared" si="0" ref="D9:D22">0.3*1300000</f>
        <v>390000</v>
      </c>
      <c r="E9" s="14"/>
    </row>
    <row r="10" spans="1:5" ht="16.5">
      <c r="A10" s="110">
        <v>3</v>
      </c>
      <c r="B10" s="14" t="s">
        <v>320</v>
      </c>
      <c r="C10" s="14" t="s">
        <v>123</v>
      </c>
      <c r="D10" s="112">
        <f t="shared" si="0"/>
        <v>390000</v>
      </c>
      <c r="E10" s="14"/>
    </row>
    <row r="11" spans="1:5" ht="16.5">
      <c r="A11" s="110">
        <v>4</v>
      </c>
      <c r="B11" s="14" t="s">
        <v>104</v>
      </c>
      <c r="C11" s="14" t="s">
        <v>123</v>
      </c>
      <c r="D11" s="112">
        <f t="shared" si="0"/>
        <v>390000</v>
      </c>
      <c r="E11" s="14"/>
    </row>
    <row r="12" spans="1:5" ht="16.5">
      <c r="A12" s="110">
        <v>5</v>
      </c>
      <c r="B12" s="14" t="s">
        <v>105</v>
      </c>
      <c r="C12" s="14" t="s">
        <v>123</v>
      </c>
      <c r="D12" s="112">
        <f t="shared" si="0"/>
        <v>390000</v>
      </c>
      <c r="E12" s="14"/>
    </row>
    <row r="13" spans="1:5" ht="16.5">
      <c r="A13" s="110">
        <v>6</v>
      </c>
      <c r="B13" s="14" t="s">
        <v>379</v>
      </c>
      <c r="C13" s="14" t="s">
        <v>123</v>
      </c>
      <c r="D13" s="112">
        <f t="shared" si="0"/>
        <v>390000</v>
      </c>
      <c r="E13" s="14"/>
    </row>
    <row r="14" spans="1:5" ht="16.5">
      <c r="A14" s="110">
        <v>7</v>
      </c>
      <c r="B14" s="14" t="s">
        <v>41</v>
      </c>
      <c r="C14" s="14" t="s">
        <v>123</v>
      </c>
      <c r="D14" s="112">
        <f t="shared" si="0"/>
        <v>390000</v>
      </c>
      <c r="E14" s="14"/>
    </row>
    <row r="15" spans="1:5" ht="16.5">
      <c r="A15" s="110">
        <v>8</v>
      </c>
      <c r="B15" s="14" t="s">
        <v>120</v>
      </c>
      <c r="C15" s="14" t="s">
        <v>123</v>
      </c>
      <c r="D15" s="112">
        <f t="shared" si="0"/>
        <v>390000</v>
      </c>
      <c r="E15" s="14"/>
    </row>
    <row r="16" spans="1:5" ht="16.5">
      <c r="A16" s="110">
        <v>9</v>
      </c>
      <c r="B16" s="14" t="s">
        <v>121</v>
      </c>
      <c r="C16" s="14" t="s">
        <v>123</v>
      </c>
      <c r="D16" s="112">
        <f t="shared" si="0"/>
        <v>390000</v>
      </c>
      <c r="E16" s="14"/>
    </row>
    <row r="17" spans="1:5" ht="16.5">
      <c r="A17" s="110">
        <v>10</v>
      </c>
      <c r="B17" s="14" t="s">
        <v>151</v>
      </c>
      <c r="C17" s="14" t="s">
        <v>123</v>
      </c>
      <c r="D17" s="112">
        <f t="shared" si="0"/>
        <v>390000</v>
      </c>
      <c r="E17" s="14"/>
    </row>
    <row r="18" spans="1:5" ht="16.5">
      <c r="A18" s="110">
        <v>11</v>
      </c>
      <c r="B18" s="14" t="s">
        <v>122</v>
      </c>
      <c r="C18" s="14" t="s">
        <v>123</v>
      </c>
      <c r="D18" s="112">
        <f t="shared" si="0"/>
        <v>390000</v>
      </c>
      <c r="E18" s="14"/>
    </row>
    <row r="19" spans="1:5" ht="16.5">
      <c r="A19" s="110">
        <v>12</v>
      </c>
      <c r="B19" s="14" t="s">
        <v>109</v>
      </c>
      <c r="C19" s="14" t="s">
        <v>123</v>
      </c>
      <c r="D19" s="112">
        <f t="shared" si="0"/>
        <v>390000</v>
      </c>
      <c r="E19" s="14"/>
    </row>
    <row r="20" spans="1:5" ht="16.5">
      <c r="A20" s="110">
        <v>13</v>
      </c>
      <c r="B20" s="14" t="s">
        <v>305</v>
      </c>
      <c r="C20" s="14" t="s">
        <v>123</v>
      </c>
      <c r="D20" s="112">
        <f t="shared" si="0"/>
        <v>390000</v>
      </c>
      <c r="E20" s="14"/>
    </row>
    <row r="21" spans="1:5" ht="16.5">
      <c r="A21" s="110">
        <v>14</v>
      </c>
      <c r="B21" s="14" t="s">
        <v>103</v>
      </c>
      <c r="C21" s="14" t="s">
        <v>123</v>
      </c>
      <c r="D21" s="112">
        <f t="shared" si="0"/>
        <v>390000</v>
      </c>
      <c r="E21" s="14"/>
    </row>
    <row r="22" spans="1:5" ht="16.5">
      <c r="A22" s="110">
        <v>15</v>
      </c>
      <c r="B22" s="14" t="s">
        <v>111</v>
      </c>
      <c r="C22" s="14" t="s">
        <v>123</v>
      </c>
      <c r="D22" s="112">
        <f t="shared" si="0"/>
        <v>390000</v>
      </c>
      <c r="E22" s="14"/>
    </row>
    <row r="23" spans="1:5" ht="16.5">
      <c r="A23" s="137" t="s">
        <v>138</v>
      </c>
      <c r="B23" s="137"/>
      <c r="C23" s="95"/>
      <c r="D23" s="51">
        <f>SUM(D8:D22)</f>
        <v>5850000</v>
      </c>
      <c r="E23" s="111"/>
    </row>
    <row r="24" spans="1:5" ht="17.25">
      <c r="A24" s="138" t="s">
        <v>377</v>
      </c>
      <c r="B24" s="139"/>
      <c r="C24" s="139"/>
      <c r="D24" s="139"/>
      <c r="E24" s="139"/>
    </row>
    <row r="25" spans="1:5" ht="16.5">
      <c r="A25" s="126" t="s">
        <v>147</v>
      </c>
      <c r="B25" s="126"/>
      <c r="C25" s="50"/>
      <c r="D25" s="126" t="s">
        <v>124</v>
      </c>
      <c r="E25" s="126"/>
    </row>
    <row r="26" spans="1:5" ht="16.5">
      <c r="A26" s="30"/>
      <c r="B26" s="30"/>
      <c r="C26" s="30"/>
      <c r="D26" s="50"/>
      <c r="E26" s="30"/>
    </row>
    <row r="27" spans="1:5" ht="16.5">
      <c r="A27" s="36"/>
      <c r="B27" s="36"/>
      <c r="C27" s="36"/>
      <c r="D27" s="36"/>
      <c r="E27" s="36"/>
    </row>
    <row r="28" spans="1:5" ht="16.5">
      <c r="A28" s="36"/>
      <c r="B28" s="36"/>
      <c r="C28" s="36"/>
      <c r="D28" s="36"/>
      <c r="E28" s="36"/>
    </row>
    <row r="29" spans="1:5" ht="16.5">
      <c r="A29" s="36"/>
      <c r="B29" s="36"/>
      <c r="C29" s="36"/>
      <c r="D29" s="36"/>
      <c r="E29" s="36"/>
    </row>
    <row r="30" spans="1:5" ht="17.25">
      <c r="A30" s="133"/>
      <c r="B30" s="134"/>
      <c r="C30" s="94"/>
      <c r="D30" s="36"/>
      <c r="E30" s="35"/>
    </row>
  </sheetData>
  <sheetProtection/>
  <mergeCells count="7">
    <mergeCell ref="A25:B25"/>
    <mergeCell ref="D25:E25"/>
    <mergeCell ref="A30:B30"/>
    <mergeCell ref="A4:E4"/>
    <mergeCell ref="A5:E5"/>
    <mergeCell ref="A23:B23"/>
    <mergeCell ref="A24:E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9"/>
  <sheetViews>
    <sheetView view="pageBreakPreview" zoomScale="150" zoomScaleNormal="150" zoomScaleSheetLayoutView="150" zoomScalePageLayoutView="0" workbookViewId="0" topLeftCell="A109">
      <selection activeCell="D91" sqref="D91"/>
    </sheetView>
  </sheetViews>
  <sheetFormatPr defaultColWidth="9.140625" defaultRowHeight="12.75"/>
  <cols>
    <col min="1" max="1" width="4.57421875" style="0" customWidth="1"/>
    <col min="2" max="2" width="23.00390625" style="0" customWidth="1"/>
    <col min="3" max="3" width="21.421875" style="0" customWidth="1"/>
    <col min="4" max="4" width="14.140625" style="0" customWidth="1"/>
    <col min="5" max="5" width="15.140625" style="0" customWidth="1"/>
    <col min="6" max="6" width="12.421875" style="0" customWidth="1"/>
  </cols>
  <sheetData>
    <row r="1" spans="1:6" ht="18.75">
      <c r="A1" s="96" t="s">
        <v>134</v>
      </c>
      <c r="B1" s="96"/>
      <c r="C1" s="96" t="s">
        <v>44</v>
      </c>
      <c r="D1" s="96"/>
      <c r="E1" s="96"/>
      <c r="F1" s="96"/>
    </row>
    <row r="2" spans="1:6" ht="18.75">
      <c r="A2" s="96" t="s">
        <v>45</v>
      </c>
      <c r="B2" s="96"/>
      <c r="C2" s="96" t="s">
        <v>46</v>
      </c>
      <c r="D2" s="96"/>
      <c r="E2" s="96"/>
      <c r="F2" s="96"/>
    </row>
    <row r="3" spans="1:6" ht="18.75">
      <c r="A3" s="96"/>
      <c r="B3" s="96"/>
      <c r="C3" s="96"/>
      <c r="D3" s="96"/>
      <c r="E3" s="96"/>
      <c r="F3" s="96"/>
    </row>
    <row r="4" spans="1:6" ht="16.5">
      <c r="A4" s="149" t="s">
        <v>397</v>
      </c>
      <c r="B4" s="149"/>
      <c r="C4" s="149"/>
      <c r="D4" s="149"/>
      <c r="E4" s="149"/>
      <c r="F4" s="149"/>
    </row>
    <row r="6" spans="1:6" ht="16.5">
      <c r="A6" s="95" t="s">
        <v>372</v>
      </c>
      <c r="B6" s="95" t="s">
        <v>47</v>
      </c>
      <c r="C6" s="95" t="s">
        <v>48</v>
      </c>
      <c r="D6" s="95" t="s">
        <v>49</v>
      </c>
      <c r="E6" s="95" t="s">
        <v>143</v>
      </c>
      <c r="F6" s="95" t="s">
        <v>50</v>
      </c>
    </row>
    <row r="7" spans="1:6" ht="18.75">
      <c r="A7" s="23" t="s">
        <v>51</v>
      </c>
      <c r="B7" s="93" t="s">
        <v>359</v>
      </c>
      <c r="C7" s="27" t="s">
        <v>53</v>
      </c>
      <c r="D7" s="27">
        <v>0.22</v>
      </c>
      <c r="E7" s="18">
        <f>D7*1490000</f>
        <v>327800</v>
      </c>
      <c r="F7" s="25"/>
    </row>
    <row r="8" spans="1:6" ht="18.75">
      <c r="A8" s="23" t="s">
        <v>52</v>
      </c>
      <c r="B8" s="93" t="s">
        <v>41</v>
      </c>
      <c r="C8" s="27" t="s">
        <v>55</v>
      </c>
      <c r="D8" s="27">
        <v>0.24</v>
      </c>
      <c r="E8" s="18">
        <f aca="true" t="shared" si="0" ref="E8:E22">D8*1490000</f>
        <v>357600</v>
      </c>
      <c r="F8" s="25"/>
    </row>
    <row r="9" spans="1:6" ht="18.75">
      <c r="A9" s="23" t="s">
        <v>54</v>
      </c>
      <c r="B9" s="93" t="s">
        <v>314</v>
      </c>
      <c r="C9" s="27" t="s">
        <v>319</v>
      </c>
      <c r="D9" s="27">
        <v>0.22</v>
      </c>
      <c r="E9" s="18">
        <f t="shared" si="0"/>
        <v>327800</v>
      </c>
      <c r="F9" s="25"/>
    </row>
    <row r="10" spans="1:6" ht="18.75">
      <c r="A10" s="23" t="s">
        <v>56</v>
      </c>
      <c r="B10" s="93" t="s">
        <v>353</v>
      </c>
      <c r="C10" s="27" t="s">
        <v>59</v>
      </c>
      <c r="D10" s="97">
        <v>0.2</v>
      </c>
      <c r="E10" s="18">
        <f t="shared" si="0"/>
        <v>298000</v>
      </c>
      <c r="F10" s="25"/>
    </row>
    <row r="11" spans="1:6" ht="18.75">
      <c r="A11" s="23" t="s">
        <v>57</v>
      </c>
      <c r="B11" s="93" t="s">
        <v>72</v>
      </c>
      <c r="C11" s="27" t="s">
        <v>61</v>
      </c>
      <c r="D11" s="97">
        <v>0.1</v>
      </c>
      <c r="E11" s="18">
        <f t="shared" si="0"/>
        <v>149000</v>
      </c>
      <c r="F11" s="25"/>
    </row>
    <row r="12" spans="1:6" ht="18.75">
      <c r="A12" s="23" t="s">
        <v>58</v>
      </c>
      <c r="B12" s="93" t="s">
        <v>73</v>
      </c>
      <c r="C12" s="27" t="s">
        <v>61</v>
      </c>
      <c r="D12" s="97">
        <v>0.1</v>
      </c>
      <c r="E12" s="18">
        <f t="shared" si="0"/>
        <v>149000</v>
      </c>
      <c r="F12" s="25"/>
    </row>
    <row r="13" spans="1:6" ht="18.75">
      <c r="A13" s="23" t="s">
        <v>60</v>
      </c>
      <c r="B13" s="93" t="s">
        <v>316</v>
      </c>
      <c r="C13" s="27" t="s">
        <v>61</v>
      </c>
      <c r="D13" s="97">
        <v>0.1</v>
      </c>
      <c r="E13" s="18">
        <f t="shared" si="0"/>
        <v>149000</v>
      </c>
      <c r="F13" s="25"/>
    </row>
    <row r="14" spans="1:6" ht="18.75">
      <c r="A14" s="23" t="s">
        <v>62</v>
      </c>
      <c r="B14" s="93" t="s">
        <v>74</v>
      </c>
      <c r="C14" s="27" t="s">
        <v>65</v>
      </c>
      <c r="D14" s="27">
        <v>0.12</v>
      </c>
      <c r="E14" s="18">
        <f t="shared" si="0"/>
        <v>178800</v>
      </c>
      <c r="F14" s="25"/>
    </row>
    <row r="15" spans="1:6" ht="18.75">
      <c r="A15" s="23" t="s">
        <v>63</v>
      </c>
      <c r="B15" s="93" t="s">
        <v>75</v>
      </c>
      <c r="C15" s="27" t="s">
        <v>65</v>
      </c>
      <c r="D15" s="27">
        <v>0.12</v>
      </c>
      <c r="E15" s="18">
        <f t="shared" si="0"/>
        <v>178800</v>
      </c>
      <c r="F15" s="25"/>
    </row>
    <row r="16" spans="1:6" ht="18.75">
      <c r="A16" s="23" t="s">
        <v>64</v>
      </c>
      <c r="B16" s="93" t="s">
        <v>76</v>
      </c>
      <c r="C16" s="27" t="s">
        <v>65</v>
      </c>
      <c r="D16" s="27">
        <v>0.12</v>
      </c>
      <c r="E16" s="18">
        <f t="shared" si="0"/>
        <v>178800</v>
      </c>
      <c r="F16" s="25"/>
    </row>
    <row r="17" spans="1:6" ht="18.75">
      <c r="A17" s="23" t="s">
        <v>66</v>
      </c>
      <c r="B17" s="93" t="s">
        <v>77</v>
      </c>
      <c r="C17" s="27" t="s">
        <v>65</v>
      </c>
      <c r="D17" s="27">
        <v>0.12</v>
      </c>
      <c r="E17" s="18">
        <f t="shared" si="0"/>
        <v>178800</v>
      </c>
      <c r="F17" s="25"/>
    </row>
    <row r="18" spans="1:6" ht="18.75">
      <c r="A18" s="23" t="s">
        <v>67</v>
      </c>
      <c r="B18" s="93" t="s">
        <v>78</v>
      </c>
      <c r="C18" s="27" t="s">
        <v>65</v>
      </c>
      <c r="D18" s="27">
        <v>0.12</v>
      </c>
      <c r="E18" s="18">
        <f t="shared" si="0"/>
        <v>178800</v>
      </c>
      <c r="F18" s="25"/>
    </row>
    <row r="19" spans="1:6" ht="18.75">
      <c r="A19" s="23" t="s">
        <v>68</v>
      </c>
      <c r="B19" s="93" t="s">
        <v>79</v>
      </c>
      <c r="C19" s="27" t="s">
        <v>65</v>
      </c>
      <c r="D19" s="27">
        <v>0.12</v>
      </c>
      <c r="E19" s="18">
        <f t="shared" si="0"/>
        <v>178800</v>
      </c>
      <c r="F19" s="25"/>
    </row>
    <row r="20" spans="1:6" ht="18.75">
      <c r="A20" s="23" t="s">
        <v>69</v>
      </c>
      <c r="B20" s="93" t="s">
        <v>85</v>
      </c>
      <c r="C20" s="27" t="s">
        <v>65</v>
      </c>
      <c r="D20" s="27">
        <v>0.12</v>
      </c>
      <c r="E20" s="18">
        <f t="shared" si="0"/>
        <v>178800</v>
      </c>
      <c r="F20" s="25"/>
    </row>
    <row r="21" spans="1:6" ht="18.75">
      <c r="A21" s="23" t="s">
        <v>70</v>
      </c>
      <c r="B21" s="93" t="s">
        <v>80</v>
      </c>
      <c r="C21" s="27" t="s">
        <v>65</v>
      </c>
      <c r="D21" s="27">
        <v>0.12</v>
      </c>
      <c r="E21" s="18">
        <f t="shared" si="0"/>
        <v>178800</v>
      </c>
      <c r="F21" s="25"/>
    </row>
    <row r="22" spans="1:6" ht="18.75">
      <c r="A22" s="23" t="s">
        <v>71</v>
      </c>
      <c r="B22" s="93" t="s">
        <v>81</v>
      </c>
      <c r="C22" s="27" t="s">
        <v>65</v>
      </c>
      <c r="D22" s="27">
        <v>0.12</v>
      </c>
      <c r="E22" s="18">
        <f t="shared" si="0"/>
        <v>178800</v>
      </c>
      <c r="F22" s="25"/>
    </row>
    <row r="23" spans="1:6" ht="18.75">
      <c r="A23" s="141" t="s">
        <v>138</v>
      </c>
      <c r="B23" s="150"/>
      <c r="C23" s="150"/>
      <c r="D23" s="8">
        <f>SUM(D7:D22)</f>
        <v>2.2600000000000007</v>
      </c>
      <c r="E23" s="22">
        <f>SUM(E7:E22)</f>
        <v>3367400</v>
      </c>
      <c r="F23" s="24"/>
    </row>
    <row r="25" spans="1:6" ht="19.5">
      <c r="A25" s="151" t="s">
        <v>380</v>
      </c>
      <c r="B25" s="152"/>
      <c r="C25" s="152"/>
      <c r="D25" s="152"/>
      <c r="E25" s="152"/>
      <c r="F25" s="152"/>
    </row>
    <row r="26" spans="1:6" ht="15.75">
      <c r="A26" s="7"/>
      <c r="B26" s="98"/>
      <c r="C26" s="98"/>
      <c r="D26" s="98"/>
      <c r="E26" s="98"/>
      <c r="F26" s="98"/>
    </row>
    <row r="27" spans="1:6" ht="15.75">
      <c r="A27" s="143" t="s">
        <v>147</v>
      </c>
      <c r="B27" s="143"/>
      <c r="C27" s="38"/>
      <c r="D27" s="38"/>
      <c r="E27" s="143" t="s">
        <v>288</v>
      </c>
      <c r="F27" s="143"/>
    </row>
    <row r="28" spans="1:6" ht="15.75">
      <c r="A28" s="4"/>
      <c r="B28" s="4"/>
      <c r="C28" s="4"/>
      <c r="D28" s="4"/>
      <c r="E28" s="4"/>
      <c r="F28" s="4"/>
    </row>
    <row r="29" spans="1:6" ht="15.75">
      <c r="A29" s="4"/>
      <c r="B29" s="4"/>
      <c r="C29" s="4"/>
      <c r="D29" s="4"/>
      <c r="E29" s="4"/>
      <c r="F29" s="4"/>
    </row>
    <row r="30" spans="1:6" ht="15.75">
      <c r="A30" s="4"/>
      <c r="B30" s="4"/>
      <c r="C30" s="4"/>
      <c r="D30" s="4"/>
      <c r="E30" s="4"/>
      <c r="F30" s="4"/>
    </row>
    <row r="31" spans="1:6" ht="15.75">
      <c r="A31" s="4"/>
      <c r="B31" s="4"/>
      <c r="C31" s="4"/>
      <c r="D31" s="4"/>
      <c r="E31" s="4"/>
      <c r="F31" s="4"/>
    </row>
    <row r="32" spans="1:6" ht="15.75">
      <c r="A32" s="144" t="s">
        <v>289</v>
      </c>
      <c r="B32" s="144"/>
      <c r="C32" s="28"/>
      <c r="D32" s="28"/>
      <c r="E32" s="144" t="s">
        <v>215</v>
      </c>
      <c r="F32" s="144"/>
    </row>
    <row r="40" spans="1:5" ht="18.75">
      <c r="A40" s="33" t="s">
        <v>86</v>
      </c>
      <c r="B40" s="21"/>
      <c r="C40" s="33"/>
      <c r="D40" s="33"/>
      <c r="E40" s="9"/>
    </row>
    <row r="41" spans="1:5" ht="18.75">
      <c r="A41" s="33" t="s">
        <v>87</v>
      </c>
      <c r="B41" s="21"/>
      <c r="C41" s="33"/>
      <c r="D41" s="33"/>
      <c r="E41" s="9"/>
    </row>
    <row r="42" spans="1:6" ht="15.75">
      <c r="A42" s="4"/>
      <c r="B42" s="4"/>
      <c r="C42" s="4"/>
      <c r="D42" s="4"/>
      <c r="E42" s="4"/>
      <c r="F42" s="1"/>
    </row>
    <row r="43" spans="1:6" ht="18.75">
      <c r="A43" s="140" t="s">
        <v>88</v>
      </c>
      <c r="B43" s="140"/>
      <c r="C43" s="140"/>
      <c r="D43" s="140"/>
      <c r="E43" s="140"/>
      <c r="F43" s="140"/>
    </row>
    <row r="44" spans="1:6" ht="18.75">
      <c r="A44" s="140" t="s">
        <v>398</v>
      </c>
      <c r="B44" s="140"/>
      <c r="C44" s="140"/>
      <c r="D44" s="140"/>
      <c r="E44" s="140"/>
      <c r="F44" s="140"/>
    </row>
    <row r="45" spans="1:6" ht="37.5">
      <c r="A45" s="42" t="s">
        <v>271</v>
      </c>
      <c r="B45" s="42" t="s">
        <v>272</v>
      </c>
      <c r="C45" s="42" t="s">
        <v>89</v>
      </c>
      <c r="D45" s="99" t="s">
        <v>274</v>
      </c>
      <c r="E45" s="99" t="s">
        <v>90</v>
      </c>
      <c r="F45" s="42" t="s">
        <v>281</v>
      </c>
    </row>
    <row r="46" spans="1:6" ht="18.75">
      <c r="A46" s="25">
        <v>1</v>
      </c>
      <c r="B46" s="25" t="s">
        <v>74</v>
      </c>
      <c r="C46" s="25" t="s">
        <v>341</v>
      </c>
      <c r="D46" s="97">
        <v>0.5</v>
      </c>
      <c r="E46" s="18">
        <f>D46*1490000</f>
        <v>745000</v>
      </c>
      <c r="F46" s="25"/>
    </row>
    <row r="47" spans="1:6" ht="18.75">
      <c r="A47" s="25">
        <v>2</v>
      </c>
      <c r="B47" s="25" t="s">
        <v>75</v>
      </c>
      <c r="C47" s="25" t="s">
        <v>332</v>
      </c>
      <c r="D47" s="97">
        <v>0.5</v>
      </c>
      <c r="E47" s="18">
        <f aca="true" t="shared" si="1" ref="E47:E54">D47*1490000</f>
        <v>745000</v>
      </c>
      <c r="F47" s="25"/>
    </row>
    <row r="48" spans="1:6" ht="18.75">
      <c r="A48" s="25">
        <v>3</v>
      </c>
      <c r="B48" s="25" t="s">
        <v>76</v>
      </c>
      <c r="C48" s="25" t="s">
        <v>91</v>
      </c>
      <c r="D48" s="97">
        <v>0.5</v>
      </c>
      <c r="E48" s="18">
        <f t="shared" si="1"/>
        <v>745000</v>
      </c>
      <c r="F48" s="25"/>
    </row>
    <row r="49" spans="1:6" ht="18.75">
      <c r="A49" s="25">
        <v>4</v>
      </c>
      <c r="B49" s="25" t="s">
        <v>77</v>
      </c>
      <c r="C49" s="25" t="s">
        <v>92</v>
      </c>
      <c r="D49" s="97">
        <v>0.5</v>
      </c>
      <c r="E49" s="18">
        <f t="shared" si="1"/>
        <v>745000</v>
      </c>
      <c r="F49" s="25"/>
    </row>
    <row r="50" spans="1:6" ht="18.75">
      <c r="A50" s="25">
        <v>5</v>
      </c>
      <c r="B50" s="25" t="s">
        <v>381</v>
      </c>
      <c r="C50" s="25" t="s">
        <v>328</v>
      </c>
      <c r="D50" s="97">
        <v>0.5</v>
      </c>
      <c r="E50" s="18">
        <f t="shared" si="1"/>
        <v>745000</v>
      </c>
      <c r="F50" s="25"/>
    </row>
    <row r="51" spans="1:6" ht="18.75">
      <c r="A51" s="25">
        <v>6</v>
      </c>
      <c r="B51" s="25" t="s">
        <v>79</v>
      </c>
      <c r="C51" s="25" t="s">
        <v>343</v>
      </c>
      <c r="D51" s="97">
        <v>0.5</v>
      </c>
      <c r="E51" s="18">
        <f t="shared" si="1"/>
        <v>745000</v>
      </c>
      <c r="F51" s="25"/>
    </row>
    <row r="52" spans="1:6" ht="18.75">
      <c r="A52" s="25">
        <v>7</v>
      </c>
      <c r="B52" s="25" t="s">
        <v>85</v>
      </c>
      <c r="C52" s="25" t="s">
        <v>338</v>
      </c>
      <c r="D52" s="97">
        <v>0.5</v>
      </c>
      <c r="E52" s="18">
        <f t="shared" si="1"/>
        <v>745000</v>
      </c>
      <c r="F52" s="25"/>
    </row>
    <row r="53" spans="1:6" ht="18.75">
      <c r="A53" s="25">
        <v>8</v>
      </c>
      <c r="B53" s="25" t="s">
        <v>80</v>
      </c>
      <c r="C53" s="25" t="s">
        <v>93</v>
      </c>
      <c r="D53" s="97">
        <v>0.5</v>
      </c>
      <c r="E53" s="18">
        <f t="shared" si="1"/>
        <v>745000</v>
      </c>
      <c r="F53" s="25"/>
    </row>
    <row r="54" spans="1:6" ht="18.75">
      <c r="A54" s="25">
        <v>9</v>
      </c>
      <c r="B54" s="25" t="s">
        <v>81</v>
      </c>
      <c r="C54" s="25" t="s">
        <v>340</v>
      </c>
      <c r="D54" s="97">
        <v>0.5</v>
      </c>
      <c r="E54" s="18">
        <f t="shared" si="1"/>
        <v>745000</v>
      </c>
      <c r="F54" s="25"/>
    </row>
    <row r="55" spans="1:6" ht="18.75">
      <c r="A55" s="141" t="s">
        <v>138</v>
      </c>
      <c r="B55" s="141"/>
      <c r="C55" s="141"/>
      <c r="D55" s="100">
        <f>SUM(D46:D54)</f>
        <v>4.5</v>
      </c>
      <c r="E55" s="22">
        <f>SUM(E46:E54)</f>
        <v>6705000</v>
      </c>
      <c r="F55" s="25"/>
    </row>
    <row r="56" spans="1:6" ht="15.75">
      <c r="A56" s="86"/>
      <c r="B56" s="86"/>
      <c r="C56" s="86"/>
      <c r="D56" s="101"/>
      <c r="E56" s="102"/>
      <c r="F56" s="103"/>
    </row>
    <row r="57" spans="1:6" ht="17.25">
      <c r="A57" s="142" t="s">
        <v>382</v>
      </c>
      <c r="B57" s="142"/>
      <c r="C57" s="142"/>
      <c r="D57" s="142"/>
      <c r="E57" s="142"/>
      <c r="F57" s="142"/>
    </row>
    <row r="58" spans="1:6" ht="18.75">
      <c r="A58" s="33" t="s">
        <v>94</v>
      </c>
      <c r="B58" s="33"/>
      <c r="C58" s="36"/>
      <c r="D58" s="36"/>
      <c r="E58" s="36"/>
      <c r="F58" s="9"/>
    </row>
    <row r="59" spans="1:6" ht="18.75">
      <c r="A59" s="36"/>
      <c r="B59" s="36"/>
      <c r="C59" s="36"/>
      <c r="D59" s="36"/>
      <c r="E59" s="36"/>
      <c r="F59" s="9"/>
    </row>
    <row r="60" spans="1:6" ht="18.75">
      <c r="A60" s="126"/>
      <c r="B60" s="133"/>
      <c r="C60" s="133"/>
      <c r="D60" s="133"/>
      <c r="E60" s="133"/>
      <c r="F60" s="9"/>
    </row>
    <row r="61" spans="1:6" ht="18.75">
      <c r="A61" s="36"/>
      <c r="B61" s="36"/>
      <c r="C61" s="36"/>
      <c r="D61" s="36"/>
      <c r="E61" s="36"/>
      <c r="F61" s="9"/>
    </row>
    <row r="62" spans="1:6" ht="18.75">
      <c r="A62" s="52" t="s">
        <v>95</v>
      </c>
      <c r="B62" s="52"/>
      <c r="C62" s="36"/>
      <c r="D62" s="36"/>
      <c r="E62" s="36"/>
      <c r="F62" s="9"/>
    </row>
    <row r="80" spans="1:6" ht="15.75">
      <c r="A80" s="29" t="s">
        <v>96</v>
      </c>
      <c r="B80" s="29"/>
      <c r="C80" s="29"/>
      <c r="D80" s="29"/>
      <c r="E80" s="29"/>
      <c r="F80" s="29"/>
    </row>
    <row r="81" spans="1:6" ht="15.75">
      <c r="A81" s="29" t="s">
        <v>87</v>
      </c>
      <c r="B81" s="29"/>
      <c r="C81" s="29"/>
      <c r="D81" s="29"/>
      <c r="E81" s="29"/>
      <c r="F81" s="29"/>
    </row>
    <row r="82" spans="1:6" ht="15.75">
      <c r="A82" s="29"/>
      <c r="B82" s="29"/>
      <c r="C82" s="29"/>
      <c r="D82" s="29"/>
      <c r="E82" s="29"/>
      <c r="F82" s="29"/>
    </row>
    <row r="83" spans="1:6" ht="15.75">
      <c r="A83" s="145" t="s">
        <v>97</v>
      </c>
      <c r="B83" s="145"/>
      <c r="C83" s="145"/>
      <c r="D83" s="145"/>
      <c r="E83" s="145"/>
      <c r="F83" s="145"/>
    </row>
    <row r="84" spans="1:6" ht="15.75">
      <c r="A84" s="104"/>
      <c r="B84" s="104"/>
      <c r="C84" s="104"/>
      <c r="D84" s="104"/>
      <c r="E84" s="104"/>
      <c r="F84" s="104"/>
    </row>
    <row r="85" spans="1:6" ht="15.75">
      <c r="A85" s="19" t="s">
        <v>372</v>
      </c>
      <c r="B85" s="92" t="s">
        <v>98</v>
      </c>
      <c r="C85" s="19" t="s">
        <v>99</v>
      </c>
      <c r="D85" s="19" t="s">
        <v>100</v>
      </c>
      <c r="E85" s="19" t="s">
        <v>280</v>
      </c>
      <c r="F85" s="19" t="s">
        <v>101</v>
      </c>
    </row>
    <row r="86" spans="1:6" ht="15.75">
      <c r="A86" s="105">
        <v>1</v>
      </c>
      <c r="B86" s="3" t="s">
        <v>359</v>
      </c>
      <c r="C86" s="106">
        <f>0.3*1490000</f>
        <v>447000</v>
      </c>
      <c r="D86" s="107"/>
      <c r="E86" s="107">
        <f>C86-D86</f>
        <v>447000</v>
      </c>
      <c r="F86" s="3"/>
    </row>
    <row r="87" spans="1:6" ht="15.75">
      <c r="A87" s="105">
        <v>2</v>
      </c>
      <c r="B87" s="3" t="s">
        <v>320</v>
      </c>
      <c r="C87" s="106">
        <f aca="true" t="shared" si="2" ref="C87:C112">0.3*1490000</f>
        <v>447000</v>
      </c>
      <c r="D87" s="107"/>
      <c r="E87" s="107">
        <f aca="true" t="shared" si="3" ref="E87:E112">C87-D87</f>
        <v>447000</v>
      </c>
      <c r="F87" s="3"/>
    </row>
    <row r="88" spans="1:6" ht="15.75">
      <c r="A88" s="105">
        <v>3</v>
      </c>
      <c r="B88" s="3" t="s">
        <v>151</v>
      </c>
      <c r="C88" s="106">
        <f t="shared" si="2"/>
        <v>447000</v>
      </c>
      <c r="D88" s="107"/>
      <c r="E88" s="107">
        <f t="shared" si="3"/>
        <v>447000</v>
      </c>
      <c r="F88" s="3"/>
    </row>
    <row r="89" spans="1:6" ht="15.75">
      <c r="A89" s="105">
        <v>4</v>
      </c>
      <c r="B89" s="3" t="s">
        <v>103</v>
      </c>
      <c r="C89" s="106">
        <f t="shared" si="2"/>
        <v>447000</v>
      </c>
      <c r="D89" s="107"/>
      <c r="E89" s="107">
        <f t="shared" si="3"/>
        <v>447000</v>
      </c>
      <c r="F89" s="3"/>
    </row>
    <row r="90" spans="1:6" ht="15.75">
      <c r="A90" s="105">
        <v>5</v>
      </c>
      <c r="B90" s="3" t="s">
        <v>36</v>
      </c>
      <c r="C90" s="106">
        <f t="shared" si="2"/>
        <v>447000</v>
      </c>
      <c r="D90" s="107"/>
      <c r="E90" s="107">
        <f t="shared" si="3"/>
        <v>447000</v>
      </c>
      <c r="F90" s="3"/>
    </row>
    <row r="91" spans="1:6" ht="15.75">
      <c r="A91" s="105">
        <v>6</v>
      </c>
      <c r="B91" s="3" t="s">
        <v>303</v>
      </c>
      <c r="C91" s="106">
        <f t="shared" si="2"/>
        <v>447000</v>
      </c>
      <c r="D91" s="107">
        <f>1.5%*1050000*1</f>
        <v>15750</v>
      </c>
      <c r="E91" s="107">
        <f t="shared" si="3"/>
        <v>431250</v>
      </c>
      <c r="F91" s="3"/>
    </row>
    <row r="92" spans="1:6" ht="15.75">
      <c r="A92" s="105">
        <v>7</v>
      </c>
      <c r="B92" s="3" t="s">
        <v>35</v>
      </c>
      <c r="C92" s="106">
        <f t="shared" si="2"/>
        <v>447000</v>
      </c>
      <c r="D92" s="107"/>
      <c r="E92" s="107">
        <f t="shared" si="3"/>
        <v>447000</v>
      </c>
      <c r="F92" s="3"/>
    </row>
    <row r="93" spans="1:6" ht="15.75">
      <c r="A93" s="105">
        <v>8</v>
      </c>
      <c r="B93" s="3" t="s">
        <v>215</v>
      </c>
      <c r="C93" s="106">
        <f t="shared" si="2"/>
        <v>447000</v>
      </c>
      <c r="D93" s="107"/>
      <c r="E93" s="107">
        <f t="shared" si="3"/>
        <v>447000</v>
      </c>
      <c r="F93" s="3"/>
    </row>
    <row r="94" spans="1:6" ht="15.75">
      <c r="A94" s="105">
        <v>9</v>
      </c>
      <c r="B94" s="3" t="s">
        <v>104</v>
      </c>
      <c r="C94" s="106">
        <f t="shared" si="2"/>
        <v>447000</v>
      </c>
      <c r="D94" s="107"/>
      <c r="E94" s="107">
        <f t="shared" si="3"/>
        <v>447000</v>
      </c>
      <c r="F94" s="3"/>
    </row>
    <row r="95" spans="1:6" ht="15.75">
      <c r="A95" s="105">
        <v>10</v>
      </c>
      <c r="B95" s="3" t="s">
        <v>160</v>
      </c>
      <c r="C95" s="106">
        <f t="shared" si="2"/>
        <v>447000</v>
      </c>
      <c r="D95" s="107"/>
      <c r="E95" s="107">
        <f t="shared" si="3"/>
        <v>447000</v>
      </c>
      <c r="F95" s="3"/>
    </row>
    <row r="96" spans="1:6" ht="15.75">
      <c r="A96" s="105">
        <v>11</v>
      </c>
      <c r="B96" s="3" t="s">
        <v>105</v>
      </c>
      <c r="C96" s="106">
        <f t="shared" si="2"/>
        <v>447000</v>
      </c>
      <c r="D96" s="107"/>
      <c r="E96" s="107">
        <f t="shared" si="3"/>
        <v>447000</v>
      </c>
      <c r="F96" s="3"/>
    </row>
    <row r="97" spans="1:6" ht="15.75">
      <c r="A97" s="105">
        <v>12</v>
      </c>
      <c r="B97" s="3" t="s">
        <v>158</v>
      </c>
      <c r="C97" s="106">
        <f t="shared" si="2"/>
        <v>447000</v>
      </c>
      <c r="D97" s="107"/>
      <c r="E97" s="107">
        <f t="shared" si="3"/>
        <v>447000</v>
      </c>
      <c r="F97" s="3"/>
    </row>
    <row r="98" spans="1:6" ht="15.75">
      <c r="A98" s="105">
        <v>13</v>
      </c>
      <c r="B98" s="3" t="s">
        <v>106</v>
      </c>
      <c r="C98" s="106">
        <f t="shared" si="2"/>
        <v>447000</v>
      </c>
      <c r="D98" s="107">
        <f>1.5%*1050000*1</f>
        <v>15750</v>
      </c>
      <c r="E98" s="107">
        <f t="shared" si="3"/>
        <v>431250</v>
      </c>
      <c r="F98" s="3"/>
    </row>
    <row r="99" spans="1:6" ht="15.75">
      <c r="A99" s="105">
        <v>14</v>
      </c>
      <c r="B99" s="3" t="s">
        <v>339</v>
      </c>
      <c r="C99" s="106">
        <f t="shared" si="2"/>
        <v>447000</v>
      </c>
      <c r="D99" s="107"/>
      <c r="E99" s="107">
        <f t="shared" si="3"/>
        <v>447000</v>
      </c>
      <c r="F99" s="3"/>
    </row>
    <row r="100" spans="1:6" ht="15.75">
      <c r="A100" s="105">
        <v>15</v>
      </c>
      <c r="B100" s="3" t="s">
        <v>306</v>
      </c>
      <c r="C100" s="106">
        <f t="shared" si="2"/>
        <v>447000</v>
      </c>
      <c r="D100" s="107"/>
      <c r="E100" s="107">
        <f t="shared" si="3"/>
        <v>447000</v>
      </c>
      <c r="F100" s="3"/>
    </row>
    <row r="101" spans="1:6" ht="15.75">
      <c r="A101" s="105">
        <v>16</v>
      </c>
      <c r="B101" s="3" t="s">
        <v>318</v>
      </c>
      <c r="C101" s="106">
        <f t="shared" si="2"/>
        <v>447000</v>
      </c>
      <c r="D101" s="107"/>
      <c r="E101" s="107">
        <f t="shared" si="3"/>
        <v>447000</v>
      </c>
      <c r="F101" s="3"/>
    </row>
    <row r="102" spans="1:6" ht="15.75">
      <c r="A102" s="105">
        <v>17</v>
      </c>
      <c r="B102" s="3" t="s">
        <v>41</v>
      </c>
      <c r="C102" s="106">
        <f t="shared" si="2"/>
        <v>447000</v>
      </c>
      <c r="D102" s="107"/>
      <c r="E102" s="107">
        <f t="shared" si="3"/>
        <v>447000</v>
      </c>
      <c r="F102" s="3"/>
    </row>
    <row r="103" spans="1:6" ht="15.75">
      <c r="A103" s="105">
        <v>18</v>
      </c>
      <c r="B103" s="3" t="s">
        <v>337</v>
      </c>
      <c r="C103" s="106">
        <f t="shared" si="2"/>
        <v>447000</v>
      </c>
      <c r="D103" s="107">
        <f>1.5%*1050000*1</f>
        <v>15750</v>
      </c>
      <c r="E103" s="107">
        <f t="shared" si="3"/>
        <v>431250</v>
      </c>
      <c r="F103" s="3"/>
    </row>
    <row r="104" spans="1:6" ht="15.75">
      <c r="A104" s="105">
        <v>19</v>
      </c>
      <c r="B104" s="3" t="s">
        <v>161</v>
      </c>
      <c r="C104" s="106">
        <f t="shared" si="2"/>
        <v>447000</v>
      </c>
      <c r="D104" s="107"/>
      <c r="E104" s="107">
        <f t="shared" si="3"/>
        <v>447000</v>
      </c>
      <c r="F104" s="3"/>
    </row>
    <row r="105" spans="1:6" ht="15.75">
      <c r="A105" s="105">
        <v>20</v>
      </c>
      <c r="B105" s="3" t="s">
        <v>159</v>
      </c>
      <c r="C105" s="106">
        <f t="shared" si="2"/>
        <v>447000</v>
      </c>
      <c r="D105" s="107"/>
      <c r="E105" s="107">
        <f t="shared" si="3"/>
        <v>447000</v>
      </c>
      <c r="F105" s="3"/>
    </row>
    <row r="106" spans="1:6" ht="15.75">
      <c r="A106" s="105">
        <v>21</v>
      </c>
      <c r="B106" s="3" t="s">
        <v>287</v>
      </c>
      <c r="C106" s="106">
        <f t="shared" si="2"/>
        <v>447000</v>
      </c>
      <c r="D106" s="107">
        <f>1.5%*1050000*1</f>
        <v>15750</v>
      </c>
      <c r="E106" s="107">
        <f t="shared" si="3"/>
        <v>431250</v>
      </c>
      <c r="F106" s="3"/>
    </row>
    <row r="107" spans="1:6" ht="15.75">
      <c r="A107" s="105">
        <v>22</v>
      </c>
      <c r="B107" s="3" t="s">
        <v>107</v>
      </c>
      <c r="C107" s="106">
        <f t="shared" si="2"/>
        <v>447000</v>
      </c>
      <c r="D107" s="107"/>
      <c r="E107" s="107">
        <f t="shared" si="3"/>
        <v>447000</v>
      </c>
      <c r="F107" s="3"/>
    </row>
    <row r="108" spans="1:6" ht="15.75">
      <c r="A108" s="105">
        <v>23</v>
      </c>
      <c r="B108" s="3" t="s">
        <v>305</v>
      </c>
      <c r="C108" s="106">
        <f t="shared" si="2"/>
        <v>447000</v>
      </c>
      <c r="D108" s="107"/>
      <c r="E108" s="107">
        <f t="shared" si="3"/>
        <v>447000</v>
      </c>
      <c r="F108" s="3"/>
    </row>
    <row r="109" spans="1:6" ht="15.75">
      <c r="A109" s="105">
        <v>24</v>
      </c>
      <c r="B109" s="3" t="s">
        <v>108</v>
      </c>
      <c r="C109" s="106">
        <f t="shared" si="2"/>
        <v>447000</v>
      </c>
      <c r="D109" s="107"/>
      <c r="E109" s="107">
        <f t="shared" si="3"/>
        <v>447000</v>
      </c>
      <c r="F109" s="3"/>
    </row>
    <row r="110" spans="1:6" ht="15.75">
      <c r="A110" s="105">
        <v>25</v>
      </c>
      <c r="B110" s="3" t="s">
        <v>109</v>
      </c>
      <c r="C110" s="106">
        <f t="shared" si="2"/>
        <v>447000</v>
      </c>
      <c r="D110" s="107"/>
      <c r="E110" s="107">
        <f t="shared" si="3"/>
        <v>447000</v>
      </c>
      <c r="F110" s="3"/>
    </row>
    <row r="111" spans="1:6" ht="15.75">
      <c r="A111" s="105">
        <v>26</v>
      </c>
      <c r="B111" s="3" t="s">
        <v>110</v>
      </c>
      <c r="C111" s="106">
        <f t="shared" si="2"/>
        <v>447000</v>
      </c>
      <c r="D111" s="107"/>
      <c r="E111" s="107">
        <f t="shared" si="3"/>
        <v>447000</v>
      </c>
      <c r="F111" s="3"/>
    </row>
    <row r="112" spans="1:6" ht="15.75">
      <c r="A112" s="105">
        <v>27</v>
      </c>
      <c r="B112" s="3" t="s">
        <v>111</v>
      </c>
      <c r="C112" s="106">
        <f t="shared" si="2"/>
        <v>447000</v>
      </c>
      <c r="D112" s="107"/>
      <c r="E112" s="107">
        <f t="shared" si="3"/>
        <v>447000</v>
      </c>
      <c r="F112" s="3"/>
    </row>
    <row r="113" spans="1:6" ht="15.75">
      <c r="A113" s="146" t="s">
        <v>138</v>
      </c>
      <c r="B113" s="147"/>
      <c r="C113" s="108">
        <f>SUM(C86:C112)</f>
        <v>12069000</v>
      </c>
      <c r="D113" s="109">
        <f>SUM(D86:D112)</f>
        <v>63000</v>
      </c>
      <c r="E113" s="109">
        <f>SUM(E86:E112)</f>
        <v>12006000</v>
      </c>
      <c r="F113" s="79"/>
    </row>
    <row r="114" spans="1:6" ht="15.75">
      <c r="A114" s="148" t="s">
        <v>383</v>
      </c>
      <c r="B114" s="148"/>
      <c r="C114" s="148"/>
      <c r="D114" s="148"/>
      <c r="E114" s="148"/>
      <c r="F114" s="148"/>
    </row>
    <row r="115" spans="1:6" ht="15.75">
      <c r="A115" s="143" t="s">
        <v>147</v>
      </c>
      <c r="B115" s="143"/>
      <c r="C115" s="143" t="s">
        <v>112</v>
      </c>
      <c r="D115" s="143"/>
      <c r="E115" s="143"/>
      <c r="F115" s="143"/>
    </row>
    <row r="116" spans="1:6" ht="15.75">
      <c r="A116" s="38"/>
      <c r="B116" s="38"/>
      <c r="C116" s="7"/>
      <c r="D116" s="7"/>
      <c r="E116" s="7"/>
      <c r="F116" s="38"/>
    </row>
    <row r="117" spans="1:6" ht="15.75">
      <c r="A117" s="4"/>
      <c r="B117" s="4"/>
      <c r="C117" s="4"/>
      <c r="D117" s="4"/>
      <c r="E117" s="4"/>
      <c r="F117" s="4"/>
    </row>
    <row r="118" spans="1:6" ht="15.75">
      <c r="A118" s="4"/>
      <c r="B118" s="4"/>
      <c r="C118" s="4"/>
      <c r="D118" s="4"/>
      <c r="E118" s="4"/>
      <c r="F118" s="4"/>
    </row>
    <row r="119" spans="1:6" ht="15.75">
      <c r="A119" s="144" t="s">
        <v>289</v>
      </c>
      <c r="B119" s="144"/>
      <c r="C119" s="4"/>
      <c r="D119" s="4"/>
      <c r="E119" s="6" t="s">
        <v>118</v>
      </c>
      <c r="F119" s="4"/>
    </row>
  </sheetData>
  <sheetProtection/>
  <mergeCells count="18">
    <mergeCell ref="A4:F4"/>
    <mergeCell ref="A23:C23"/>
    <mergeCell ref="A25:F25"/>
    <mergeCell ref="A43:F43"/>
    <mergeCell ref="A27:B27"/>
    <mergeCell ref="E27:F27"/>
    <mergeCell ref="A32:B32"/>
    <mergeCell ref="E32:F32"/>
    <mergeCell ref="A44:F44"/>
    <mergeCell ref="A55:C55"/>
    <mergeCell ref="A57:F57"/>
    <mergeCell ref="A115:B115"/>
    <mergeCell ref="C115:F115"/>
    <mergeCell ref="A119:B119"/>
    <mergeCell ref="A60:E60"/>
    <mergeCell ref="A83:F83"/>
    <mergeCell ref="A113:B113"/>
    <mergeCell ref="A114:F11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95"/>
  <sheetViews>
    <sheetView view="pageBreakPreview" zoomScale="150" zoomScaleNormal="150" zoomScaleSheetLayoutView="150" zoomScalePageLayoutView="0" workbookViewId="0" topLeftCell="A202">
      <selection activeCell="J91" sqref="J91"/>
    </sheetView>
  </sheetViews>
  <sheetFormatPr defaultColWidth="9.140625" defaultRowHeight="12.75"/>
  <cols>
    <col min="1" max="1" width="4.28125" style="0" customWidth="1"/>
    <col min="2" max="2" width="20.57421875" style="0" customWidth="1"/>
    <col min="3" max="3" width="17.57421875" style="0" customWidth="1"/>
    <col min="7" max="7" width="11.57421875" style="0" customWidth="1"/>
    <col min="8" max="8" width="10.140625" style="0" bestFit="1" customWidth="1"/>
    <col min="10" max="10" width="12.7109375" style="0" customWidth="1"/>
    <col min="11" max="11" width="10.8515625" style="0" customWidth="1"/>
  </cols>
  <sheetData>
    <row r="4" spans="1:11" ht="15.75">
      <c r="A4" s="143" t="s">
        <v>134</v>
      </c>
      <c r="B4" s="143"/>
      <c r="C4" s="38"/>
      <c r="D4" s="143" t="s">
        <v>137</v>
      </c>
      <c r="E4" s="143"/>
      <c r="F4" s="143"/>
      <c r="G4" s="143"/>
      <c r="H4" s="143"/>
      <c r="I4" s="4"/>
      <c r="J4" s="1"/>
      <c r="K4" s="1"/>
    </row>
    <row r="5" spans="1:11" ht="15.75">
      <c r="A5" s="155" t="s">
        <v>141</v>
      </c>
      <c r="B5" s="155"/>
      <c r="C5" s="38"/>
      <c r="D5" s="155" t="s">
        <v>269</v>
      </c>
      <c r="E5" s="155"/>
      <c r="F5" s="155"/>
      <c r="G5" s="155"/>
      <c r="H5" s="155"/>
      <c r="I5" s="4"/>
      <c r="J5" s="1"/>
      <c r="K5" s="1"/>
    </row>
    <row r="6" spans="1:11" ht="15.75">
      <c r="A6" s="4"/>
      <c r="B6" s="4"/>
      <c r="C6" s="4"/>
      <c r="D6" s="4"/>
      <c r="E6" s="4"/>
      <c r="F6" s="4"/>
      <c r="G6" s="4"/>
      <c r="H6" s="4"/>
      <c r="I6" s="4"/>
      <c r="J6" s="1"/>
      <c r="K6" s="1"/>
    </row>
    <row r="7" spans="1:11" ht="18.75">
      <c r="A7" s="140" t="s">
        <v>270</v>
      </c>
      <c r="B7" s="140"/>
      <c r="C7" s="140"/>
      <c r="D7" s="140"/>
      <c r="E7" s="140"/>
      <c r="F7" s="140"/>
      <c r="G7" s="140"/>
      <c r="H7" s="140"/>
      <c r="I7" s="140"/>
      <c r="J7" s="1"/>
      <c r="K7" s="1"/>
    </row>
    <row r="8" spans="1:11" ht="15.75">
      <c r="A8" s="143" t="s">
        <v>396</v>
      </c>
      <c r="B8" s="143"/>
      <c r="C8" s="143"/>
      <c r="D8" s="143"/>
      <c r="E8" s="143"/>
      <c r="F8" s="143"/>
      <c r="G8" s="143"/>
      <c r="H8" s="143"/>
      <c r="I8" s="143"/>
      <c r="J8" s="1"/>
      <c r="K8" s="1"/>
    </row>
    <row r="9" spans="1:11" ht="15.75">
      <c r="A9" s="7"/>
      <c r="B9" s="7"/>
      <c r="C9" s="7"/>
      <c r="D9" s="7"/>
      <c r="E9" s="7"/>
      <c r="F9" s="7"/>
      <c r="G9" s="7"/>
      <c r="H9" s="7"/>
      <c r="I9" s="7"/>
      <c r="J9" s="1"/>
      <c r="K9" s="1"/>
    </row>
    <row r="10" spans="1:11" ht="47.25">
      <c r="A10" s="26" t="s">
        <v>271</v>
      </c>
      <c r="B10" s="26" t="s">
        <v>272</v>
      </c>
      <c r="C10" s="26" t="s">
        <v>273</v>
      </c>
      <c r="D10" s="58" t="s">
        <v>274</v>
      </c>
      <c r="E10" s="58" t="s">
        <v>275</v>
      </c>
      <c r="F10" s="58" t="s">
        <v>276</v>
      </c>
      <c r="G10" s="58" t="s">
        <v>277</v>
      </c>
      <c r="H10" s="58" t="s">
        <v>278</v>
      </c>
      <c r="I10" s="26" t="s">
        <v>279</v>
      </c>
      <c r="J10" s="26" t="s">
        <v>280</v>
      </c>
      <c r="K10" s="26" t="s">
        <v>281</v>
      </c>
    </row>
    <row r="11" spans="1:11" ht="15.75">
      <c r="A11" s="3">
        <v>1</v>
      </c>
      <c r="B11" s="3" t="s">
        <v>297</v>
      </c>
      <c r="C11" s="3" t="s">
        <v>282</v>
      </c>
      <c r="D11" s="59">
        <v>1</v>
      </c>
      <c r="E11" s="60"/>
      <c r="F11" s="61"/>
      <c r="G11" s="16">
        <v>1490000</v>
      </c>
      <c r="H11" s="16"/>
      <c r="I11" s="16"/>
      <c r="J11" s="16">
        <f>(G11-I11)+H11</f>
        <v>1490000</v>
      </c>
      <c r="K11" s="13"/>
    </row>
    <row r="12" spans="1:11" ht="15.75">
      <c r="A12" s="3">
        <v>2</v>
      </c>
      <c r="B12" s="3" t="s">
        <v>283</v>
      </c>
      <c r="C12" s="3" t="s">
        <v>282</v>
      </c>
      <c r="D12" s="59">
        <v>1</v>
      </c>
      <c r="E12" s="60"/>
      <c r="F12" s="61"/>
      <c r="G12" s="16">
        <v>1490000</v>
      </c>
      <c r="H12" s="16"/>
      <c r="I12" s="16"/>
      <c r="J12" s="16">
        <f aca="true" t="shared" si="0" ref="J12:J20">(G12-I12)+H12</f>
        <v>1490000</v>
      </c>
      <c r="K12" s="13"/>
    </row>
    <row r="13" spans="1:11" ht="15.75">
      <c r="A13" s="3">
        <v>3</v>
      </c>
      <c r="B13" s="3" t="s">
        <v>363</v>
      </c>
      <c r="C13" s="3" t="s">
        <v>282</v>
      </c>
      <c r="D13" s="59">
        <v>1</v>
      </c>
      <c r="E13" s="60"/>
      <c r="F13" s="16"/>
      <c r="G13" s="16">
        <v>1490000</v>
      </c>
      <c r="H13" s="16"/>
      <c r="I13" s="16"/>
      <c r="J13" s="16">
        <f t="shared" si="0"/>
        <v>1490000</v>
      </c>
      <c r="K13" s="13"/>
    </row>
    <row r="14" spans="1:11" ht="15.75">
      <c r="A14" s="3">
        <v>4</v>
      </c>
      <c r="B14" s="3" t="s">
        <v>284</v>
      </c>
      <c r="C14" s="3" t="s">
        <v>282</v>
      </c>
      <c r="D14" s="59">
        <v>1</v>
      </c>
      <c r="E14" s="60"/>
      <c r="F14" s="16"/>
      <c r="G14" s="16">
        <v>1490000</v>
      </c>
      <c r="H14" s="16"/>
      <c r="I14" s="16"/>
      <c r="J14" s="16">
        <f t="shared" si="0"/>
        <v>1490000</v>
      </c>
      <c r="K14" s="13"/>
    </row>
    <row r="15" spans="1:11" ht="15.75">
      <c r="A15" s="3">
        <v>5</v>
      </c>
      <c r="B15" s="3" t="s">
        <v>285</v>
      </c>
      <c r="C15" s="3" t="s">
        <v>282</v>
      </c>
      <c r="D15" s="59">
        <v>1</v>
      </c>
      <c r="E15" s="60"/>
      <c r="F15" s="16"/>
      <c r="G15" s="16">
        <v>1490000</v>
      </c>
      <c r="H15" s="16"/>
      <c r="I15" s="16"/>
      <c r="J15" s="16">
        <f t="shared" si="0"/>
        <v>1490000</v>
      </c>
      <c r="K15" s="13"/>
    </row>
    <row r="16" spans="1:11" ht="15.75">
      <c r="A16" s="3">
        <v>6</v>
      </c>
      <c r="B16" s="3" t="s">
        <v>286</v>
      </c>
      <c r="C16" s="3" t="s">
        <v>282</v>
      </c>
      <c r="D16" s="59">
        <v>1</v>
      </c>
      <c r="E16" s="60"/>
      <c r="F16" s="16"/>
      <c r="G16" s="16">
        <v>1490000</v>
      </c>
      <c r="H16" s="16"/>
      <c r="I16" s="16"/>
      <c r="J16" s="16">
        <f t="shared" si="0"/>
        <v>1490000</v>
      </c>
      <c r="K16" s="13"/>
    </row>
    <row r="17" spans="1:11" ht="15.75">
      <c r="A17" s="3">
        <v>7</v>
      </c>
      <c r="B17" s="3" t="s">
        <v>384</v>
      </c>
      <c r="C17" s="3" t="s">
        <v>282</v>
      </c>
      <c r="D17" s="59">
        <v>1</v>
      </c>
      <c r="E17" s="60"/>
      <c r="F17" s="16"/>
      <c r="G17" s="16">
        <v>1490000</v>
      </c>
      <c r="H17" s="16"/>
      <c r="I17" s="16"/>
      <c r="J17" s="16">
        <f t="shared" si="0"/>
        <v>1490000</v>
      </c>
      <c r="K17" s="13"/>
    </row>
    <row r="18" spans="1:11" ht="15.75">
      <c r="A18" s="3">
        <v>8</v>
      </c>
      <c r="B18" s="3" t="s">
        <v>239</v>
      </c>
      <c r="C18" s="3" t="s">
        <v>282</v>
      </c>
      <c r="D18" s="59">
        <v>1</v>
      </c>
      <c r="E18" s="60"/>
      <c r="F18" s="16"/>
      <c r="G18" s="16">
        <v>1490000</v>
      </c>
      <c r="H18" s="16"/>
      <c r="I18" s="16"/>
      <c r="J18" s="16">
        <f t="shared" si="0"/>
        <v>1490000</v>
      </c>
      <c r="K18" s="13"/>
    </row>
    <row r="19" spans="1:11" ht="15.75">
      <c r="A19" s="3">
        <v>9</v>
      </c>
      <c r="B19" s="3" t="s">
        <v>80</v>
      </c>
      <c r="C19" s="3" t="s">
        <v>282</v>
      </c>
      <c r="D19" s="59">
        <f>1*70%</f>
        <v>0.7</v>
      </c>
      <c r="E19" s="60"/>
      <c r="F19" s="16"/>
      <c r="G19" s="16">
        <f>D19*1490000</f>
        <v>1042999.9999999999</v>
      </c>
      <c r="H19" s="16"/>
      <c r="I19" s="16"/>
      <c r="J19" s="16">
        <f t="shared" si="0"/>
        <v>1042999.9999999999</v>
      </c>
      <c r="K19" s="13"/>
    </row>
    <row r="20" spans="1:11" ht="15.75">
      <c r="A20" s="153" t="s">
        <v>138</v>
      </c>
      <c r="B20" s="153"/>
      <c r="C20" s="153"/>
      <c r="D20" s="62">
        <f aca="true" t="shared" si="1" ref="D20:I20">SUM(D11:D19)</f>
        <v>8.7</v>
      </c>
      <c r="E20" s="63">
        <f t="shared" si="1"/>
        <v>0</v>
      </c>
      <c r="F20" s="64">
        <f t="shared" si="1"/>
        <v>0</v>
      </c>
      <c r="G20" s="15">
        <f t="shared" si="1"/>
        <v>12963000</v>
      </c>
      <c r="H20" s="15">
        <f t="shared" si="1"/>
        <v>0</v>
      </c>
      <c r="I20" s="15">
        <f t="shared" si="1"/>
        <v>0</v>
      </c>
      <c r="J20" s="15">
        <f t="shared" si="0"/>
        <v>12963000</v>
      </c>
      <c r="K20" s="13"/>
    </row>
    <row r="21" spans="1:11" ht="15.75">
      <c r="A21" s="156" t="s">
        <v>402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ht="15.75">
      <c r="A22" s="7"/>
      <c r="B22" s="6"/>
      <c r="C22" s="6"/>
      <c r="D22" s="6"/>
      <c r="E22" s="6"/>
      <c r="F22" s="6"/>
      <c r="G22" s="6"/>
      <c r="H22" s="6"/>
      <c r="I22" s="6"/>
      <c r="J22" s="1"/>
      <c r="K22" s="1"/>
    </row>
    <row r="23" spans="1:11" ht="15.75">
      <c r="A23" s="143" t="s">
        <v>147</v>
      </c>
      <c r="B23" s="143"/>
      <c r="C23" s="4"/>
      <c r="D23" s="4"/>
      <c r="E23" s="4"/>
      <c r="F23" s="1"/>
      <c r="G23" s="1"/>
      <c r="H23" s="1"/>
      <c r="I23" s="143" t="s">
        <v>288</v>
      </c>
      <c r="J23" s="143"/>
      <c r="K23" s="1"/>
    </row>
    <row r="24" spans="1:11" ht="15.75">
      <c r="A24" s="4"/>
      <c r="B24" s="4"/>
      <c r="C24" s="4"/>
      <c r="D24" s="4"/>
      <c r="E24" s="4"/>
      <c r="F24" s="4"/>
      <c r="G24" s="4"/>
      <c r="H24" s="4"/>
      <c r="I24" s="4"/>
      <c r="J24" s="1"/>
      <c r="K24" s="1"/>
    </row>
    <row r="25" spans="1:11" ht="15.75">
      <c r="A25" s="143"/>
      <c r="B25" s="144"/>
      <c r="C25" s="144"/>
      <c r="D25" s="144"/>
      <c r="E25" s="144"/>
      <c r="F25" s="144"/>
      <c r="G25" s="144"/>
      <c r="H25" s="144"/>
      <c r="I25" s="144"/>
      <c r="J25" s="1"/>
      <c r="K25" s="1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1"/>
      <c r="K26" s="1"/>
    </row>
    <row r="27" spans="1:11" ht="15.75">
      <c r="A27" s="144" t="s">
        <v>289</v>
      </c>
      <c r="B27" s="144"/>
      <c r="C27" s="4"/>
      <c r="D27" s="4" t="s">
        <v>252</v>
      </c>
      <c r="E27" s="4"/>
      <c r="F27" s="1"/>
      <c r="G27" s="1"/>
      <c r="H27" s="1"/>
      <c r="I27" s="144" t="s">
        <v>215</v>
      </c>
      <c r="J27" s="144"/>
      <c r="K27" s="1"/>
    </row>
    <row r="28" spans="1:11" ht="15.75">
      <c r="A28" s="7"/>
      <c r="B28" s="7"/>
      <c r="C28" s="4"/>
      <c r="D28" s="4"/>
      <c r="E28" s="4"/>
      <c r="F28" s="7"/>
      <c r="G28" s="7"/>
      <c r="H28" s="7"/>
      <c r="I28" s="4"/>
      <c r="J28" s="1"/>
      <c r="K28" s="1"/>
    </row>
    <row r="29" spans="1:11" ht="15.75">
      <c r="A29" s="7"/>
      <c r="B29" s="7"/>
      <c r="C29" s="4"/>
      <c r="D29" s="4"/>
      <c r="E29" s="4"/>
      <c r="F29" s="7"/>
      <c r="G29" s="7"/>
      <c r="H29" s="7"/>
      <c r="I29" s="4"/>
      <c r="J29" s="1"/>
      <c r="K29" s="1"/>
    </row>
    <row r="30" spans="1:11" ht="15.75">
      <c r="A30" s="7"/>
      <c r="B30" s="7"/>
      <c r="C30" s="4"/>
      <c r="D30" s="4"/>
      <c r="E30" s="4"/>
      <c r="F30" s="7"/>
      <c r="G30" s="7"/>
      <c r="H30" s="7"/>
      <c r="I30" s="4"/>
      <c r="J30" s="1"/>
      <c r="K30" s="1"/>
    </row>
    <row r="31" spans="1:11" ht="15.75">
      <c r="A31" s="7"/>
      <c r="B31" s="7"/>
      <c r="C31" s="4"/>
      <c r="D31" s="4"/>
      <c r="E31" s="4"/>
      <c r="F31" s="7"/>
      <c r="G31" s="7"/>
      <c r="H31" s="7"/>
      <c r="I31" s="4"/>
      <c r="J31" s="1"/>
      <c r="K31" s="1"/>
    </row>
    <row r="32" spans="1:11" ht="15.75">
      <c r="A32" s="7"/>
      <c r="B32" s="7"/>
      <c r="C32" s="4"/>
      <c r="D32" s="4"/>
      <c r="E32" s="4"/>
      <c r="F32" s="7"/>
      <c r="G32" s="7"/>
      <c r="H32" s="7"/>
      <c r="I32" s="4"/>
      <c r="J32" s="1"/>
      <c r="K32" s="1"/>
    </row>
    <row r="33" spans="1:11" ht="15.75">
      <c r="A33" s="143" t="s">
        <v>134</v>
      </c>
      <c r="B33" s="143"/>
      <c r="C33" s="38"/>
      <c r="D33" s="143" t="s">
        <v>137</v>
      </c>
      <c r="E33" s="143"/>
      <c r="F33" s="143"/>
      <c r="G33" s="143"/>
      <c r="H33" s="143"/>
      <c r="I33" s="4"/>
      <c r="J33" s="1"/>
      <c r="K33" s="1"/>
    </row>
    <row r="34" spans="1:11" ht="15.75">
      <c r="A34" s="155" t="s">
        <v>141</v>
      </c>
      <c r="B34" s="155"/>
      <c r="C34" s="38"/>
      <c r="D34" s="155" t="s">
        <v>269</v>
      </c>
      <c r="E34" s="155"/>
      <c r="F34" s="155"/>
      <c r="G34" s="155"/>
      <c r="H34" s="155"/>
      <c r="I34" s="4"/>
      <c r="J34" s="1"/>
      <c r="K34" s="1"/>
    </row>
    <row r="35" spans="1:11" ht="15.75">
      <c r="A35" s="4"/>
      <c r="B35" s="4"/>
      <c r="C35" s="4"/>
      <c r="D35" s="4"/>
      <c r="E35" s="4"/>
      <c r="F35" s="4"/>
      <c r="G35" s="4"/>
      <c r="H35" s="4"/>
      <c r="I35" s="4"/>
      <c r="J35" s="1"/>
      <c r="K35" s="1"/>
    </row>
    <row r="36" spans="1:11" ht="15.75">
      <c r="A36" s="143" t="s">
        <v>290</v>
      </c>
      <c r="B36" s="143"/>
      <c r="C36" s="143"/>
      <c r="D36" s="143"/>
      <c r="E36" s="143"/>
      <c r="F36" s="143"/>
      <c r="G36" s="143"/>
      <c r="H36" s="143"/>
      <c r="I36" s="143"/>
      <c r="J36" s="1"/>
      <c r="K36" s="1"/>
    </row>
    <row r="37" spans="1:11" ht="15.75">
      <c r="A37" s="143" t="s">
        <v>396</v>
      </c>
      <c r="B37" s="143"/>
      <c r="C37" s="143"/>
      <c r="D37" s="143"/>
      <c r="E37" s="143"/>
      <c r="F37" s="143"/>
      <c r="G37" s="143"/>
      <c r="H37" s="143"/>
      <c r="I37" s="143"/>
      <c r="J37" s="1"/>
      <c r="K37" s="1"/>
    </row>
    <row r="38" spans="1:11" ht="15.75">
      <c r="A38" s="4"/>
      <c r="B38" s="4"/>
      <c r="C38" s="4"/>
      <c r="D38" s="4"/>
      <c r="E38" s="4"/>
      <c r="F38" s="4"/>
      <c r="G38" s="4"/>
      <c r="H38" s="4"/>
      <c r="I38" s="4"/>
      <c r="J38" s="1"/>
      <c r="K38" s="1"/>
    </row>
    <row r="39" spans="1:11" ht="47.25">
      <c r="A39" s="26" t="s">
        <v>271</v>
      </c>
      <c r="B39" s="26" t="s">
        <v>272</v>
      </c>
      <c r="C39" s="26" t="s">
        <v>273</v>
      </c>
      <c r="D39" s="58" t="s">
        <v>274</v>
      </c>
      <c r="E39" s="58" t="s">
        <v>275</v>
      </c>
      <c r="F39" s="58" t="s">
        <v>276</v>
      </c>
      <c r="G39" s="58" t="s">
        <v>277</v>
      </c>
      <c r="H39" s="58" t="s">
        <v>278</v>
      </c>
      <c r="I39" s="26" t="s">
        <v>279</v>
      </c>
      <c r="J39" s="26" t="s">
        <v>280</v>
      </c>
      <c r="K39" s="26" t="s">
        <v>281</v>
      </c>
    </row>
    <row r="40" spans="1:11" ht="15.75">
      <c r="A40" s="3">
        <v>1</v>
      </c>
      <c r="B40" s="3" t="s">
        <v>240</v>
      </c>
      <c r="C40" s="3" t="s">
        <v>291</v>
      </c>
      <c r="D40" s="59">
        <v>1</v>
      </c>
      <c r="E40" s="60"/>
      <c r="F40" s="61"/>
      <c r="G40" s="16">
        <f>(D40+E40+F40)*1490000</f>
        <v>1490000</v>
      </c>
      <c r="H40" s="16"/>
      <c r="I40" s="16"/>
      <c r="J40" s="16">
        <f>(G40-I40)+H40</f>
        <v>1490000</v>
      </c>
      <c r="K40" s="13"/>
    </row>
    <row r="41" spans="1:11" ht="15.75">
      <c r="A41" s="3">
        <v>2</v>
      </c>
      <c r="B41" s="3" t="s">
        <v>74</v>
      </c>
      <c r="C41" s="3" t="s">
        <v>291</v>
      </c>
      <c r="D41" s="59">
        <v>1</v>
      </c>
      <c r="E41" s="60"/>
      <c r="F41" s="61"/>
      <c r="G41" s="16">
        <f aca="true" t="shared" si="2" ref="G41:G48">(D41+E41+F41)*1490000</f>
        <v>1490000</v>
      </c>
      <c r="H41" s="16"/>
      <c r="I41" s="16"/>
      <c r="J41" s="16">
        <f aca="true" t="shared" si="3" ref="J41:J49">(G41-I41)+H41</f>
        <v>1490000</v>
      </c>
      <c r="K41" s="13"/>
    </row>
    <row r="42" spans="1:11" ht="15.75">
      <c r="A42" s="3">
        <v>3</v>
      </c>
      <c r="B42" s="3" t="s">
        <v>292</v>
      </c>
      <c r="C42" s="3" t="s">
        <v>291</v>
      </c>
      <c r="D42" s="59">
        <v>1</v>
      </c>
      <c r="E42" s="60"/>
      <c r="F42" s="16"/>
      <c r="G42" s="16">
        <f t="shared" si="2"/>
        <v>1490000</v>
      </c>
      <c r="H42" s="16"/>
      <c r="I42" s="16"/>
      <c r="J42" s="16">
        <f t="shared" si="3"/>
        <v>1490000</v>
      </c>
      <c r="K42" s="13"/>
    </row>
    <row r="43" spans="1:11" ht="15.75">
      <c r="A43" s="3">
        <v>4</v>
      </c>
      <c r="B43" s="3" t="s">
        <v>293</v>
      </c>
      <c r="C43" s="3" t="s">
        <v>291</v>
      </c>
      <c r="D43" s="59">
        <v>1</v>
      </c>
      <c r="E43" s="60"/>
      <c r="F43" s="16"/>
      <c r="G43" s="16">
        <f t="shared" si="2"/>
        <v>1490000</v>
      </c>
      <c r="H43" s="16"/>
      <c r="I43" s="16"/>
      <c r="J43" s="16">
        <f t="shared" si="3"/>
        <v>1490000</v>
      </c>
      <c r="K43" s="13"/>
    </row>
    <row r="44" spans="1:11" ht="15.75">
      <c r="A44" s="3">
        <v>5</v>
      </c>
      <c r="B44" s="3" t="s">
        <v>294</v>
      </c>
      <c r="C44" s="3" t="s">
        <v>291</v>
      </c>
      <c r="D44" s="59">
        <v>1</v>
      </c>
      <c r="E44" s="60"/>
      <c r="F44" s="16"/>
      <c r="G44" s="16">
        <f t="shared" si="2"/>
        <v>1490000</v>
      </c>
      <c r="H44" s="16"/>
      <c r="I44" s="16"/>
      <c r="J44" s="16">
        <f t="shared" si="3"/>
        <v>1490000</v>
      </c>
      <c r="K44" s="13"/>
    </row>
    <row r="45" spans="1:11" ht="15.75">
      <c r="A45" s="3">
        <v>6</v>
      </c>
      <c r="B45" s="3" t="s">
        <v>295</v>
      </c>
      <c r="C45" s="3" t="s">
        <v>291</v>
      </c>
      <c r="D45" s="59">
        <v>1</v>
      </c>
      <c r="E45" s="60"/>
      <c r="F45" s="16"/>
      <c r="G45" s="16">
        <f t="shared" si="2"/>
        <v>1490000</v>
      </c>
      <c r="H45" s="16"/>
      <c r="I45" s="16"/>
      <c r="J45" s="16">
        <f t="shared" si="3"/>
        <v>1490000</v>
      </c>
      <c r="K45" s="13"/>
    </row>
    <row r="46" spans="1:11" ht="15.75">
      <c r="A46" s="3">
        <v>7</v>
      </c>
      <c r="B46" s="3" t="s">
        <v>296</v>
      </c>
      <c r="C46" s="3" t="s">
        <v>291</v>
      </c>
      <c r="D46" s="59">
        <v>1</v>
      </c>
      <c r="E46" s="60"/>
      <c r="F46" s="16"/>
      <c r="G46" s="16">
        <f t="shared" si="2"/>
        <v>1490000</v>
      </c>
      <c r="H46" s="16"/>
      <c r="I46" s="16"/>
      <c r="J46" s="16">
        <f t="shared" si="3"/>
        <v>1490000</v>
      </c>
      <c r="K46" s="13"/>
    </row>
    <row r="47" spans="1:11" ht="15.75">
      <c r="A47" s="3">
        <v>8</v>
      </c>
      <c r="B47" s="3" t="s">
        <v>297</v>
      </c>
      <c r="C47" s="3" t="s">
        <v>291</v>
      </c>
      <c r="D47" s="59">
        <v>1</v>
      </c>
      <c r="E47" s="60"/>
      <c r="F47" s="16"/>
      <c r="G47" s="16">
        <f t="shared" si="2"/>
        <v>1490000</v>
      </c>
      <c r="H47" s="16"/>
      <c r="I47" s="16"/>
      <c r="J47" s="16">
        <f t="shared" si="3"/>
        <v>1490000</v>
      </c>
      <c r="K47" s="13"/>
    </row>
    <row r="48" spans="1:11" ht="15.75">
      <c r="A48" s="3">
        <v>9</v>
      </c>
      <c r="B48" s="3" t="s">
        <v>298</v>
      </c>
      <c r="C48" s="3" t="s">
        <v>291</v>
      </c>
      <c r="D48" s="59">
        <v>1</v>
      </c>
      <c r="E48" s="60"/>
      <c r="F48" s="16"/>
      <c r="G48" s="16">
        <f t="shared" si="2"/>
        <v>1490000</v>
      </c>
      <c r="H48" s="16"/>
      <c r="I48" s="16"/>
      <c r="J48" s="16">
        <f t="shared" si="3"/>
        <v>1490000</v>
      </c>
      <c r="K48" s="13"/>
    </row>
    <row r="49" spans="1:11" ht="15.75">
      <c r="A49" s="153" t="s">
        <v>138</v>
      </c>
      <c r="B49" s="153"/>
      <c r="C49" s="153"/>
      <c r="D49" s="65">
        <f aca="true" t="shared" si="4" ref="D49:I49">SUM(D40:D48)</f>
        <v>9</v>
      </c>
      <c r="E49" s="63">
        <f t="shared" si="4"/>
        <v>0</v>
      </c>
      <c r="F49" s="64">
        <f t="shared" si="4"/>
        <v>0</v>
      </c>
      <c r="G49" s="15">
        <f t="shared" si="4"/>
        <v>13410000</v>
      </c>
      <c r="H49" s="15">
        <f t="shared" si="4"/>
        <v>0</v>
      </c>
      <c r="I49" s="15">
        <f t="shared" si="4"/>
        <v>0</v>
      </c>
      <c r="J49" s="15">
        <f t="shared" si="3"/>
        <v>13410000</v>
      </c>
      <c r="K49" s="13"/>
    </row>
    <row r="50" spans="1:11" ht="15.75">
      <c r="A50" s="156" t="s">
        <v>385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</row>
    <row r="51" spans="1:11" ht="15.75">
      <c r="A51" s="7"/>
      <c r="B51" s="6"/>
      <c r="C51" s="6"/>
      <c r="D51" s="6"/>
      <c r="E51" s="6"/>
      <c r="F51" s="6"/>
      <c r="G51" s="6"/>
      <c r="H51" s="6"/>
      <c r="I51" s="6"/>
      <c r="J51" s="1"/>
      <c r="K51" s="1"/>
    </row>
    <row r="52" spans="1:11" ht="15.75">
      <c r="A52" s="143" t="s">
        <v>147</v>
      </c>
      <c r="B52" s="143"/>
      <c r="C52" s="4"/>
      <c r="D52" s="4"/>
      <c r="E52" s="4"/>
      <c r="F52" s="1"/>
      <c r="G52" s="1"/>
      <c r="H52" s="1"/>
      <c r="I52" s="143" t="s">
        <v>288</v>
      </c>
      <c r="J52" s="143"/>
      <c r="K52" s="1"/>
    </row>
    <row r="53" spans="1:11" ht="15.75">
      <c r="A53" s="4"/>
      <c r="B53" s="4"/>
      <c r="C53" s="4"/>
      <c r="D53" s="4"/>
      <c r="E53" s="4"/>
      <c r="F53" s="4"/>
      <c r="G53" s="4"/>
      <c r="H53" s="4"/>
      <c r="I53" s="4"/>
      <c r="J53" s="1"/>
      <c r="K53" s="1"/>
    </row>
    <row r="54" spans="1:11" ht="15.75">
      <c r="A54" s="143"/>
      <c r="B54" s="144"/>
      <c r="C54" s="144"/>
      <c r="D54" s="144"/>
      <c r="E54" s="144"/>
      <c r="F54" s="144"/>
      <c r="G54" s="144"/>
      <c r="H54" s="144"/>
      <c r="I54" s="144"/>
      <c r="J54" s="1"/>
      <c r="K54" s="1"/>
    </row>
    <row r="55" spans="1:11" ht="15.75">
      <c r="A55" s="4"/>
      <c r="B55" s="4"/>
      <c r="C55" s="4"/>
      <c r="D55" s="4"/>
      <c r="E55" s="4"/>
      <c r="F55" s="4"/>
      <c r="G55" s="4"/>
      <c r="H55" s="4"/>
      <c r="I55" s="4"/>
      <c r="J55" s="1"/>
      <c r="K55" s="1"/>
    </row>
    <row r="56" spans="1:11" ht="15.75">
      <c r="A56" s="144" t="s">
        <v>289</v>
      </c>
      <c r="B56" s="144"/>
      <c r="C56" s="4"/>
      <c r="D56" s="4"/>
      <c r="E56" s="4"/>
      <c r="F56" s="1"/>
      <c r="G56" s="1"/>
      <c r="H56" s="1"/>
      <c r="I56" s="144" t="s">
        <v>215</v>
      </c>
      <c r="J56" s="144"/>
      <c r="K56" s="1"/>
    </row>
    <row r="57" spans="1:11" ht="15.75">
      <c r="A57" s="4"/>
      <c r="B57" s="4"/>
      <c r="C57" s="4"/>
      <c r="D57" s="4"/>
      <c r="E57" s="4"/>
      <c r="F57" s="4"/>
      <c r="G57" s="4"/>
      <c r="H57" s="4"/>
      <c r="I57" s="4"/>
      <c r="J57" s="1"/>
      <c r="K57" s="1"/>
    </row>
    <row r="58" spans="1:11" ht="15.75">
      <c r="A58" s="4"/>
      <c r="B58" s="4"/>
      <c r="C58" s="4"/>
      <c r="D58" s="4"/>
      <c r="E58" s="4"/>
      <c r="F58" s="4"/>
      <c r="G58" s="4"/>
      <c r="H58" s="4"/>
      <c r="I58" s="4"/>
      <c r="J58" s="1"/>
      <c r="K58" s="1"/>
    </row>
    <row r="59" spans="1:11" ht="15.75">
      <c r="A59" s="4"/>
      <c r="B59" s="4"/>
      <c r="C59" s="4"/>
      <c r="D59" s="4"/>
      <c r="E59" s="4"/>
      <c r="F59" s="4"/>
      <c r="G59" s="4"/>
      <c r="H59" s="4"/>
      <c r="I59" s="4"/>
      <c r="J59" s="1"/>
      <c r="K59" s="1"/>
    </row>
    <row r="60" spans="1:11" ht="15.75">
      <c r="A60" s="4"/>
      <c r="B60" s="4"/>
      <c r="C60" s="4"/>
      <c r="D60" s="4"/>
      <c r="E60" s="4"/>
      <c r="F60" s="4"/>
      <c r="G60" s="4"/>
      <c r="H60" s="4"/>
      <c r="I60" s="4"/>
      <c r="J60" s="1"/>
      <c r="K60" s="1"/>
    </row>
    <row r="61" spans="1:11" ht="15.75">
      <c r="A61" s="143" t="s">
        <v>134</v>
      </c>
      <c r="B61" s="143"/>
      <c r="C61" s="38"/>
      <c r="D61" s="143" t="s">
        <v>137</v>
      </c>
      <c r="E61" s="143"/>
      <c r="F61" s="143"/>
      <c r="G61" s="143"/>
      <c r="H61" s="143"/>
      <c r="I61" s="4"/>
      <c r="J61" s="1"/>
      <c r="K61" s="1"/>
    </row>
    <row r="62" spans="1:11" ht="15.75">
      <c r="A62" s="155" t="s">
        <v>141</v>
      </c>
      <c r="B62" s="155"/>
      <c r="C62" s="38"/>
      <c r="D62" s="155" t="s">
        <v>269</v>
      </c>
      <c r="E62" s="155"/>
      <c r="F62" s="155"/>
      <c r="G62" s="155"/>
      <c r="H62" s="155"/>
      <c r="I62" s="4"/>
      <c r="J62" s="1"/>
      <c r="K62" s="1"/>
    </row>
    <row r="63" spans="1:11" ht="15.75">
      <c r="A63" s="4"/>
      <c r="B63" s="4"/>
      <c r="C63" s="4"/>
      <c r="D63" s="4"/>
      <c r="E63" s="4"/>
      <c r="F63" s="4"/>
      <c r="G63" s="4"/>
      <c r="H63" s="4"/>
      <c r="I63" s="4"/>
      <c r="J63" s="1"/>
      <c r="K63" s="1"/>
    </row>
    <row r="64" spans="1:11" ht="18.75">
      <c r="A64" s="140" t="s">
        <v>299</v>
      </c>
      <c r="B64" s="140"/>
      <c r="C64" s="140"/>
      <c r="D64" s="140"/>
      <c r="E64" s="140"/>
      <c r="F64" s="140"/>
      <c r="G64" s="140"/>
      <c r="H64" s="140"/>
      <c r="I64" s="140"/>
      <c r="J64" s="1"/>
      <c r="K64" s="1"/>
    </row>
    <row r="65" spans="1:11" ht="15.75">
      <c r="A65" s="143" t="s">
        <v>396</v>
      </c>
      <c r="B65" s="143"/>
      <c r="C65" s="143"/>
      <c r="D65" s="143"/>
      <c r="E65" s="143"/>
      <c r="F65" s="143"/>
      <c r="G65" s="143"/>
      <c r="H65" s="143"/>
      <c r="I65" s="143"/>
      <c r="J65" s="1"/>
      <c r="K65" s="1"/>
    </row>
    <row r="66" spans="1:11" ht="15.75">
      <c r="A66" s="4"/>
      <c r="B66" s="4"/>
      <c r="C66" s="4"/>
      <c r="D66" s="4"/>
      <c r="E66" s="4"/>
      <c r="F66" s="4"/>
      <c r="G66" s="4"/>
      <c r="H66" s="4"/>
      <c r="I66" s="4"/>
      <c r="J66" s="1"/>
      <c r="K66" s="1"/>
    </row>
    <row r="67" spans="1:11" ht="47.25">
      <c r="A67" s="26" t="s">
        <v>271</v>
      </c>
      <c r="B67" s="26" t="s">
        <v>272</v>
      </c>
      <c r="C67" s="26" t="s">
        <v>273</v>
      </c>
      <c r="D67" s="58" t="s">
        <v>274</v>
      </c>
      <c r="E67" s="58" t="s">
        <v>275</v>
      </c>
      <c r="F67" s="58" t="s">
        <v>276</v>
      </c>
      <c r="G67" s="58" t="s">
        <v>277</v>
      </c>
      <c r="H67" s="58" t="s">
        <v>278</v>
      </c>
      <c r="I67" s="26" t="s">
        <v>279</v>
      </c>
      <c r="J67" s="26" t="s">
        <v>280</v>
      </c>
      <c r="K67" s="26" t="s">
        <v>281</v>
      </c>
    </row>
    <row r="68" spans="1:11" ht="15.75">
      <c r="A68" s="3">
        <v>1</v>
      </c>
      <c r="B68" s="3" t="s">
        <v>300</v>
      </c>
      <c r="C68" s="3" t="s">
        <v>301</v>
      </c>
      <c r="D68" s="59">
        <v>1</v>
      </c>
      <c r="E68" s="60"/>
      <c r="F68" s="61"/>
      <c r="G68" s="16">
        <f>(D68+E68+F68)*1490000</f>
        <v>1490000</v>
      </c>
      <c r="H68" s="16"/>
      <c r="I68" s="16"/>
      <c r="J68" s="16">
        <f>(G68-I68)+H68</f>
        <v>1490000</v>
      </c>
      <c r="K68" s="13"/>
    </row>
    <row r="69" spans="1:11" ht="15.75">
      <c r="A69" s="3">
        <v>2</v>
      </c>
      <c r="B69" s="3" t="s">
        <v>151</v>
      </c>
      <c r="C69" s="3" t="s">
        <v>301</v>
      </c>
      <c r="D69" s="59">
        <v>0.35</v>
      </c>
      <c r="E69" s="60"/>
      <c r="F69" s="61"/>
      <c r="G69" s="16">
        <f aca="true" t="shared" si="5" ref="G69:G76">(D69+E69+F69)*1490000</f>
        <v>521499.99999999994</v>
      </c>
      <c r="H69" s="16"/>
      <c r="I69" s="16"/>
      <c r="J69" s="16">
        <f aca="true" t="shared" si="6" ref="J69:J77">(G69-I69)+H69</f>
        <v>521499.99999999994</v>
      </c>
      <c r="K69" s="13"/>
    </row>
    <row r="70" spans="1:11" ht="15.75">
      <c r="A70" s="3">
        <v>3</v>
      </c>
      <c r="B70" s="3" t="s">
        <v>302</v>
      </c>
      <c r="C70" s="3" t="s">
        <v>301</v>
      </c>
      <c r="D70" s="59">
        <v>1</v>
      </c>
      <c r="E70" s="60"/>
      <c r="F70" s="16"/>
      <c r="G70" s="16">
        <f t="shared" si="5"/>
        <v>1490000</v>
      </c>
      <c r="H70" s="16"/>
      <c r="I70" s="16"/>
      <c r="J70" s="16">
        <f t="shared" si="6"/>
        <v>1490000</v>
      </c>
      <c r="K70" s="13"/>
    </row>
    <row r="71" spans="1:11" ht="15.75">
      <c r="A71" s="3">
        <v>4</v>
      </c>
      <c r="B71" s="3" t="s">
        <v>152</v>
      </c>
      <c r="C71" s="3" t="s">
        <v>301</v>
      </c>
      <c r="D71" s="59">
        <v>1</v>
      </c>
      <c r="E71" s="60"/>
      <c r="F71" s="16"/>
      <c r="G71" s="16">
        <f t="shared" si="5"/>
        <v>1490000</v>
      </c>
      <c r="H71" s="16"/>
      <c r="I71" s="16"/>
      <c r="J71" s="16">
        <f t="shared" si="6"/>
        <v>1490000</v>
      </c>
      <c r="K71" s="13"/>
    </row>
    <row r="72" spans="1:11" ht="15.75">
      <c r="A72" s="3">
        <v>5</v>
      </c>
      <c r="B72" s="3" t="s">
        <v>102</v>
      </c>
      <c r="C72" s="3" t="s">
        <v>301</v>
      </c>
      <c r="D72" s="59">
        <v>1</v>
      </c>
      <c r="E72" s="60"/>
      <c r="F72" s="16"/>
      <c r="G72" s="16">
        <f t="shared" si="5"/>
        <v>1490000</v>
      </c>
      <c r="H72" s="16"/>
      <c r="I72" s="16"/>
      <c r="J72" s="16">
        <f t="shared" si="6"/>
        <v>1490000</v>
      </c>
      <c r="K72" s="13"/>
    </row>
    <row r="73" spans="1:11" ht="15.75">
      <c r="A73" s="3">
        <v>6</v>
      </c>
      <c r="B73" s="3" t="s">
        <v>304</v>
      </c>
      <c r="C73" s="3" t="s">
        <v>301</v>
      </c>
      <c r="D73" s="59">
        <v>1</v>
      </c>
      <c r="E73" s="60"/>
      <c r="F73" s="16"/>
      <c r="G73" s="16">
        <f t="shared" si="5"/>
        <v>1490000</v>
      </c>
      <c r="H73" s="16"/>
      <c r="I73" s="16"/>
      <c r="J73" s="16">
        <f t="shared" si="6"/>
        <v>1490000</v>
      </c>
      <c r="K73" s="13"/>
    </row>
    <row r="74" spans="1:11" ht="15.75">
      <c r="A74" s="3">
        <v>7</v>
      </c>
      <c r="B74" s="3" t="s">
        <v>35</v>
      </c>
      <c r="C74" s="3" t="s">
        <v>301</v>
      </c>
      <c r="D74" s="59">
        <v>1</v>
      </c>
      <c r="E74" s="60"/>
      <c r="F74" s="16"/>
      <c r="G74" s="16">
        <f t="shared" si="5"/>
        <v>1490000</v>
      </c>
      <c r="H74" s="16"/>
      <c r="I74" s="16"/>
      <c r="J74" s="16">
        <f t="shared" si="6"/>
        <v>1490000</v>
      </c>
      <c r="K74" s="13"/>
    </row>
    <row r="75" spans="1:11" ht="15.75">
      <c r="A75" s="3">
        <v>8</v>
      </c>
      <c r="B75" s="3" t="s">
        <v>305</v>
      </c>
      <c r="C75" s="3" t="s">
        <v>301</v>
      </c>
      <c r="D75" s="59">
        <v>1</v>
      </c>
      <c r="E75" s="60"/>
      <c r="F75" s="16"/>
      <c r="G75" s="16">
        <f t="shared" si="5"/>
        <v>1490000</v>
      </c>
      <c r="H75" s="16"/>
      <c r="I75" s="16"/>
      <c r="J75" s="16">
        <f t="shared" si="6"/>
        <v>1490000</v>
      </c>
      <c r="K75" s="13"/>
    </row>
    <row r="76" spans="1:11" ht="15.75">
      <c r="A76" s="3">
        <v>9</v>
      </c>
      <c r="B76" s="3" t="s">
        <v>306</v>
      </c>
      <c r="C76" s="3" t="s">
        <v>301</v>
      </c>
      <c r="D76" s="59">
        <v>1</v>
      </c>
      <c r="E76" s="60"/>
      <c r="F76" s="16"/>
      <c r="G76" s="16">
        <f t="shared" si="5"/>
        <v>1490000</v>
      </c>
      <c r="H76" s="16"/>
      <c r="I76" s="16"/>
      <c r="J76" s="16">
        <f t="shared" si="6"/>
        <v>1490000</v>
      </c>
      <c r="K76" s="13"/>
    </row>
    <row r="77" spans="1:11" ht="15.75">
      <c r="A77" s="153" t="s">
        <v>138</v>
      </c>
      <c r="B77" s="153"/>
      <c r="C77" s="153"/>
      <c r="D77" s="65">
        <f aca="true" t="shared" si="7" ref="D77:I77">SUM(D68:D76)</f>
        <v>8.35</v>
      </c>
      <c r="E77" s="63">
        <f t="shared" si="7"/>
        <v>0</v>
      </c>
      <c r="F77" s="64">
        <f t="shared" si="7"/>
        <v>0</v>
      </c>
      <c r="G77" s="15">
        <f t="shared" si="7"/>
        <v>12441500</v>
      </c>
      <c r="H77" s="15">
        <f t="shared" si="7"/>
        <v>0</v>
      </c>
      <c r="I77" s="15">
        <f t="shared" si="7"/>
        <v>0</v>
      </c>
      <c r="J77" s="15">
        <f t="shared" si="6"/>
        <v>12441500</v>
      </c>
      <c r="K77" s="13"/>
    </row>
    <row r="78" spans="1:11" ht="15.75">
      <c r="A78" s="156" t="s">
        <v>386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</row>
    <row r="79" spans="1:11" ht="15.75">
      <c r="A79" s="7"/>
      <c r="B79" s="6"/>
      <c r="C79" s="6"/>
      <c r="D79" s="6"/>
      <c r="E79" s="6"/>
      <c r="F79" s="6"/>
      <c r="G79" s="6"/>
      <c r="H79" s="6"/>
      <c r="I79" s="6"/>
      <c r="J79" s="1"/>
      <c r="K79" s="1"/>
    </row>
    <row r="80" spans="1:11" ht="15.75">
      <c r="A80" s="143" t="s">
        <v>147</v>
      </c>
      <c r="B80" s="143"/>
      <c r="C80" s="4"/>
      <c r="D80" s="4"/>
      <c r="E80" s="4"/>
      <c r="F80" s="1"/>
      <c r="G80" s="1"/>
      <c r="H80" s="1"/>
      <c r="I80" s="143" t="s">
        <v>288</v>
      </c>
      <c r="J80" s="143"/>
      <c r="K80" s="1"/>
    </row>
    <row r="81" spans="1:11" ht="15.75">
      <c r="A81" s="4"/>
      <c r="B81" s="4"/>
      <c r="C81" s="4"/>
      <c r="D81" s="4"/>
      <c r="E81" s="4"/>
      <c r="F81" s="4"/>
      <c r="G81" s="4"/>
      <c r="H81" s="4"/>
      <c r="I81" s="4"/>
      <c r="J81" s="1"/>
      <c r="K81" s="1"/>
    </row>
    <row r="82" spans="1:11" ht="15.75">
      <c r="A82" s="143"/>
      <c r="B82" s="144"/>
      <c r="C82" s="144"/>
      <c r="D82" s="144"/>
      <c r="E82" s="144"/>
      <c r="F82" s="144"/>
      <c r="G82" s="144"/>
      <c r="H82" s="144"/>
      <c r="I82" s="144"/>
      <c r="J82" s="1"/>
      <c r="K82" s="1"/>
    </row>
    <row r="83" spans="1:11" ht="15.75">
      <c r="A83" s="4"/>
      <c r="B83" s="4"/>
      <c r="C83" s="4"/>
      <c r="D83" s="4"/>
      <c r="E83" s="4"/>
      <c r="F83" s="4"/>
      <c r="G83" s="4"/>
      <c r="H83" s="4"/>
      <c r="I83" s="4"/>
      <c r="J83" s="1"/>
      <c r="K83" s="1"/>
    </row>
    <row r="84" spans="1:11" ht="15.75">
      <c r="A84" s="144" t="s">
        <v>289</v>
      </c>
      <c r="B84" s="144"/>
      <c r="C84" s="4"/>
      <c r="D84" s="4"/>
      <c r="E84" s="4"/>
      <c r="F84" s="1"/>
      <c r="G84" s="1"/>
      <c r="H84" s="1"/>
      <c r="I84" s="144" t="s">
        <v>215</v>
      </c>
      <c r="J84" s="144"/>
      <c r="K84" s="1"/>
    </row>
    <row r="85" spans="1:11" ht="13.5">
      <c r="A85" s="66"/>
      <c r="B85" s="66"/>
      <c r="C85" s="1"/>
      <c r="D85" s="1"/>
      <c r="E85" s="1"/>
      <c r="F85" s="66"/>
      <c r="G85" s="66"/>
      <c r="H85" s="66"/>
      <c r="I85" s="1"/>
      <c r="J85" s="1"/>
      <c r="K85" s="1"/>
    </row>
    <row r="86" spans="1:11" ht="15.75">
      <c r="A86" s="143" t="s">
        <v>134</v>
      </c>
      <c r="B86" s="143"/>
      <c r="C86" s="38"/>
      <c r="D86" s="143" t="s">
        <v>137</v>
      </c>
      <c r="E86" s="143"/>
      <c r="F86" s="143"/>
      <c r="G86" s="143"/>
      <c r="H86" s="143"/>
      <c r="I86" s="4"/>
      <c r="J86" s="1"/>
      <c r="K86" s="1"/>
    </row>
    <row r="87" spans="1:11" ht="15.75">
      <c r="A87" s="155" t="s">
        <v>141</v>
      </c>
      <c r="B87" s="155"/>
      <c r="C87" s="38"/>
      <c r="D87" s="155" t="s">
        <v>269</v>
      </c>
      <c r="E87" s="155"/>
      <c r="F87" s="155"/>
      <c r="G87" s="155"/>
      <c r="H87" s="155"/>
      <c r="I87" s="4"/>
      <c r="J87" s="1"/>
      <c r="K87" s="1"/>
    </row>
    <row r="88" spans="1:11" ht="15.75">
      <c r="A88" s="143" t="s">
        <v>308</v>
      </c>
      <c r="B88" s="143"/>
      <c r="C88" s="143"/>
      <c r="D88" s="143"/>
      <c r="E88" s="143"/>
      <c r="F88" s="143"/>
      <c r="G88" s="143"/>
      <c r="H88" s="143"/>
      <c r="I88" s="143"/>
      <c r="J88" s="1"/>
      <c r="K88" s="1"/>
    </row>
    <row r="89" spans="1:11" ht="15.75">
      <c r="A89" s="143" t="s">
        <v>396</v>
      </c>
      <c r="B89" s="143"/>
      <c r="C89" s="143"/>
      <c r="D89" s="143"/>
      <c r="E89" s="143"/>
      <c r="F89" s="143"/>
      <c r="G89" s="143"/>
      <c r="H89" s="143"/>
      <c r="I89" s="143"/>
      <c r="J89" s="1"/>
      <c r="K89" s="1"/>
    </row>
    <row r="90" spans="1:11" ht="48.75" customHeight="1">
      <c r="A90" s="26" t="s">
        <v>271</v>
      </c>
      <c r="B90" s="26" t="s">
        <v>272</v>
      </c>
      <c r="C90" s="26" t="s">
        <v>273</v>
      </c>
      <c r="D90" s="58" t="s">
        <v>274</v>
      </c>
      <c r="E90" s="58" t="s">
        <v>275</v>
      </c>
      <c r="F90" s="58" t="s">
        <v>276</v>
      </c>
      <c r="G90" s="58" t="s">
        <v>277</v>
      </c>
      <c r="H90" s="58" t="s">
        <v>278</v>
      </c>
      <c r="I90" s="26" t="s">
        <v>309</v>
      </c>
      <c r="J90" s="26" t="s">
        <v>280</v>
      </c>
      <c r="K90" s="26" t="s">
        <v>281</v>
      </c>
    </row>
    <row r="91" spans="1:11" ht="15.75">
      <c r="A91" s="3">
        <v>1</v>
      </c>
      <c r="B91" s="3" t="s">
        <v>306</v>
      </c>
      <c r="C91" s="3" t="s">
        <v>37</v>
      </c>
      <c r="D91" s="59">
        <f>0.7*70%</f>
        <v>0.48999999999999994</v>
      </c>
      <c r="E91" s="60"/>
      <c r="F91" s="61"/>
      <c r="G91" s="16">
        <f>(D91+E91+F91)*1490000</f>
        <v>730099.9999999999</v>
      </c>
      <c r="H91" s="16"/>
      <c r="I91" s="16"/>
      <c r="J91" s="16">
        <f>(G91-I91)+H91</f>
        <v>730099.9999999999</v>
      </c>
      <c r="K91" s="13"/>
    </row>
    <row r="92" spans="1:11" ht="15.75">
      <c r="A92" s="3">
        <v>2</v>
      </c>
      <c r="B92" s="3" t="s">
        <v>351</v>
      </c>
      <c r="C92" s="3" t="s">
        <v>310</v>
      </c>
      <c r="D92" s="59">
        <v>1</v>
      </c>
      <c r="E92" s="60"/>
      <c r="F92" s="16"/>
      <c r="G92" s="16">
        <f aca="true" t="shared" si="8" ref="G92:G106">(D92+E92+F92)*1490000</f>
        <v>1490000</v>
      </c>
      <c r="H92" s="16"/>
      <c r="I92" s="16"/>
      <c r="J92" s="16">
        <f aca="true" t="shared" si="9" ref="J92:J106">(G92-I92)+H92</f>
        <v>1490000</v>
      </c>
      <c r="K92" s="13"/>
    </row>
    <row r="93" spans="1:11" ht="15.75">
      <c r="A93" s="3">
        <v>3</v>
      </c>
      <c r="B93" s="3" t="s">
        <v>311</v>
      </c>
      <c r="C93" s="3" t="s">
        <v>312</v>
      </c>
      <c r="D93" s="59">
        <v>1</v>
      </c>
      <c r="E93" s="60"/>
      <c r="F93" s="16"/>
      <c r="G93" s="16">
        <f t="shared" si="8"/>
        <v>1490000</v>
      </c>
      <c r="H93" s="16"/>
      <c r="I93" s="16"/>
      <c r="J93" s="16">
        <f t="shared" si="9"/>
        <v>1490000</v>
      </c>
      <c r="K93" s="13"/>
    </row>
    <row r="94" spans="1:11" ht="15.75">
      <c r="A94" s="3">
        <v>4</v>
      </c>
      <c r="B94" s="3" t="s">
        <v>314</v>
      </c>
      <c r="C94" s="3" t="s">
        <v>315</v>
      </c>
      <c r="D94" s="59">
        <v>1.5</v>
      </c>
      <c r="E94" s="60"/>
      <c r="F94" s="16"/>
      <c r="G94" s="16">
        <f t="shared" si="8"/>
        <v>2235000</v>
      </c>
      <c r="H94" s="16"/>
      <c r="I94" s="16"/>
      <c r="J94" s="16">
        <f t="shared" si="9"/>
        <v>2235000</v>
      </c>
      <c r="K94" s="13"/>
    </row>
    <row r="95" spans="1:11" ht="15.75">
      <c r="A95" s="3">
        <v>5</v>
      </c>
      <c r="B95" s="3" t="s">
        <v>353</v>
      </c>
      <c r="C95" s="3" t="s">
        <v>38</v>
      </c>
      <c r="D95" s="59">
        <f>0.8</f>
        <v>0.8</v>
      </c>
      <c r="E95" s="60"/>
      <c r="F95" s="16"/>
      <c r="G95" s="16">
        <f t="shared" si="8"/>
        <v>1192000</v>
      </c>
      <c r="H95" s="16"/>
      <c r="I95" s="16"/>
      <c r="J95" s="16">
        <f t="shared" si="9"/>
        <v>1192000</v>
      </c>
      <c r="K95" s="13"/>
    </row>
    <row r="96" spans="1:11" ht="15.75">
      <c r="A96" s="3">
        <v>6</v>
      </c>
      <c r="B96" s="3" t="s">
        <v>153</v>
      </c>
      <c r="C96" s="3" t="s">
        <v>317</v>
      </c>
      <c r="D96" s="59">
        <v>1</v>
      </c>
      <c r="E96" s="60"/>
      <c r="F96" s="16"/>
      <c r="G96" s="16">
        <f t="shared" si="8"/>
        <v>1490000</v>
      </c>
      <c r="H96" s="16"/>
      <c r="I96" s="16"/>
      <c r="J96" s="16">
        <f t="shared" si="9"/>
        <v>1490000</v>
      </c>
      <c r="K96" s="13"/>
    </row>
    <row r="97" spans="1:11" ht="15.75">
      <c r="A97" s="3">
        <v>7</v>
      </c>
      <c r="B97" s="3" t="s">
        <v>350</v>
      </c>
      <c r="C97" s="3" t="s">
        <v>354</v>
      </c>
      <c r="D97" s="59">
        <v>0.8</v>
      </c>
      <c r="E97" s="60"/>
      <c r="F97" s="16"/>
      <c r="G97" s="16">
        <f t="shared" si="8"/>
        <v>1192000</v>
      </c>
      <c r="H97" s="16"/>
      <c r="I97" s="16"/>
      <c r="J97" s="16">
        <f t="shared" si="9"/>
        <v>1192000</v>
      </c>
      <c r="K97" s="13"/>
    </row>
    <row r="98" spans="1:11" ht="15.75">
      <c r="A98" s="3">
        <v>8</v>
      </c>
      <c r="B98" s="3" t="s">
        <v>351</v>
      </c>
      <c r="C98" s="3" t="s">
        <v>355</v>
      </c>
      <c r="D98" s="59">
        <f>70%*0.8</f>
        <v>0.5599999999999999</v>
      </c>
      <c r="E98" s="60"/>
      <c r="F98" s="16"/>
      <c r="G98" s="16">
        <f t="shared" si="8"/>
        <v>834399.9999999999</v>
      </c>
      <c r="H98" s="16"/>
      <c r="I98" s="16"/>
      <c r="J98" s="16">
        <f t="shared" si="9"/>
        <v>834399.9999999999</v>
      </c>
      <c r="K98" s="13"/>
    </row>
    <row r="99" spans="1:11" ht="15.75">
      <c r="A99" s="3">
        <v>9</v>
      </c>
      <c r="B99" s="3" t="s">
        <v>352</v>
      </c>
      <c r="C99" s="3" t="s">
        <v>356</v>
      </c>
      <c r="D99" s="59">
        <v>0.8</v>
      </c>
      <c r="E99" s="60"/>
      <c r="F99" s="16"/>
      <c r="G99" s="16">
        <f t="shared" si="8"/>
        <v>1192000</v>
      </c>
      <c r="H99" s="16"/>
      <c r="I99" s="16"/>
      <c r="J99" s="16">
        <f t="shared" si="9"/>
        <v>1192000</v>
      </c>
      <c r="K99" s="13"/>
    </row>
    <row r="100" spans="1:11" ht="15.75">
      <c r="A100" s="3">
        <v>10</v>
      </c>
      <c r="B100" s="3" t="s">
        <v>387</v>
      </c>
      <c r="C100" s="17" t="s">
        <v>357</v>
      </c>
      <c r="D100" s="59">
        <v>1</v>
      </c>
      <c r="E100" s="60"/>
      <c r="F100" s="16"/>
      <c r="G100" s="16">
        <f t="shared" si="8"/>
        <v>1490000</v>
      </c>
      <c r="H100" s="16"/>
      <c r="I100" s="16"/>
      <c r="J100" s="16">
        <f t="shared" si="9"/>
        <v>1490000</v>
      </c>
      <c r="K100" s="13"/>
    </row>
    <row r="101" spans="1:11" ht="15.75">
      <c r="A101" s="3">
        <v>11</v>
      </c>
      <c r="B101" s="3" t="s">
        <v>154</v>
      </c>
      <c r="C101" s="3" t="s">
        <v>358</v>
      </c>
      <c r="D101" s="59">
        <v>0.8</v>
      </c>
      <c r="E101" s="60"/>
      <c r="F101" s="16"/>
      <c r="G101" s="16">
        <f t="shared" si="8"/>
        <v>1192000</v>
      </c>
      <c r="H101" s="16"/>
      <c r="I101" s="16"/>
      <c r="J101" s="16">
        <f t="shared" si="9"/>
        <v>1192000</v>
      </c>
      <c r="K101" s="13"/>
    </row>
    <row r="102" spans="1:11" ht="15.75">
      <c r="A102" s="3">
        <v>12</v>
      </c>
      <c r="B102" s="3" t="s">
        <v>155</v>
      </c>
      <c r="C102" s="3" t="s">
        <v>360</v>
      </c>
      <c r="D102" s="59">
        <v>1.8</v>
      </c>
      <c r="E102" s="60"/>
      <c r="F102" s="16"/>
      <c r="G102" s="16">
        <f t="shared" si="8"/>
        <v>2682000</v>
      </c>
      <c r="H102" s="16"/>
      <c r="I102" s="16"/>
      <c r="J102" s="16">
        <f t="shared" si="9"/>
        <v>2682000</v>
      </c>
      <c r="K102" s="13"/>
    </row>
    <row r="103" spans="1:11" ht="15.75">
      <c r="A103" s="3">
        <v>13</v>
      </c>
      <c r="B103" s="3" t="s">
        <v>155</v>
      </c>
      <c r="C103" s="3" t="s">
        <v>361</v>
      </c>
      <c r="D103" s="59">
        <v>0.7</v>
      </c>
      <c r="E103" s="60"/>
      <c r="F103" s="16"/>
      <c r="G103" s="16">
        <f t="shared" si="8"/>
        <v>1042999.9999999999</v>
      </c>
      <c r="H103" s="16"/>
      <c r="I103" s="16"/>
      <c r="J103" s="16">
        <f t="shared" si="9"/>
        <v>1042999.9999999999</v>
      </c>
      <c r="K103" s="13"/>
    </row>
    <row r="104" spans="1:11" ht="15.75">
      <c r="A104" s="3">
        <v>14</v>
      </c>
      <c r="B104" s="3" t="s">
        <v>154</v>
      </c>
      <c r="C104" s="3" t="s">
        <v>39</v>
      </c>
      <c r="D104" s="59">
        <v>0.7</v>
      </c>
      <c r="E104" s="60"/>
      <c r="F104" s="16"/>
      <c r="G104" s="16">
        <f t="shared" si="8"/>
        <v>1042999.9999999999</v>
      </c>
      <c r="H104" s="16"/>
      <c r="I104" s="16"/>
      <c r="J104" s="16">
        <f t="shared" si="9"/>
        <v>1042999.9999999999</v>
      </c>
      <c r="K104" s="13"/>
    </row>
    <row r="105" spans="1:11" ht="15.75">
      <c r="A105" s="3">
        <v>15</v>
      </c>
      <c r="B105" s="3" t="s">
        <v>388</v>
      </c>
      <c r="C105" s="3" t="s">
        <v>40</v>
      </c>
      <c r="D105" s="59">
        <v>1.3</v>
      </c>
      <c r="E105" s="60"/>
      <c r="F105" s="16"/>
      <c r="G105" s="16">
        <f t="shared" si="8"/>
        <v>1937000</v>
      </c>
      <c r="H105" s="16"/>
      <c r="I105" s="16"/>
      <c r="J105" s="16">
        <f t="shared" si="9"/>
        <v>1937000</v>
      </c>
      <c r="K105" s="13"/>
    </row>
    <row r="106" spans="1:11" ht="15.75">
      <c r="A106" s="3">
        <v>16</v>
      </c>
      <c r="B106" s="3" t="s">
        <v>388</v>
      </c>
      <c r="C106" s="3" t="s">
        <v>362</v>
      </c>
      <c r="D106" s="59">
        <v>0.7</v>
      </c>
      <c r="E106" s="60"/>
      <c r="F106" s="16"/>
      <c r="G106" s="16">
        <f t="shared" si="8"/>
        <v>1042999.9999999999</v>
      </c>
      <c r="H106" s="16"/>
      <c r="I106" s="16"/>
      <c r="J106" s="16">
        <f t="shared" si="9"/>
        <v>1042999.9999999999</v>
      </c>
      <c r="K106" s="13"/>
    </row>
    <row r="107" spans="1:11" ht="15.75">
      <c r="A107" s="153" t="s">
        <v>138</v>
      </c>
      <c r="B107" s="153"/>
      <c r="C107" s="153"/>
      <c r="D107" s="65">
        <f>SUM(D91:D106)</f>
        <v>14.95</v>
      </c>
      <c r="E107" s="63">
        <f>SUM(E91:E96)</f>
        <v>0</v>
      </c>
      <c r="F107" s="64">
        <f>SUM(F91:F96)</f>
        <v>0</v>
      </c>
      <c r="G107" s="15">
        <f>SUM(G91:G106)</f>
        <v>22275500</v>
      </c>
      <c r="H107" s="15">
        <f>SUM(H91:H96)</f>
        <v>0</v>
      </c>
      <c r="I107" s="15">
        <f>SUM(I91:I96)</f>
        <v>0</v>
      </c>
      <c r="J107" s="15">
        <f>SUM(J91:J106)</f>
        <v>22275500</v>
      </c>
      <c r="K107" s="13"/>
    </row>
    <row r="108" spans="1:11" ht="15.75">
      <c r="A108" s="154" t="s">
        <v>389</v>
      </c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</row>
    <row r="109" spans="1:11" ht="15.75">
      <c r="A109" s="143" t="s">
        <v>147</v>
      </c>
      <c r="B109" s="143"/>
      <c r="C109" s="4"/>
      <c r="D109" s="4"/>
      <c r="E109" s="4"/>
      <c r="F109" s="1"/>
      <c r="G109" s="1"/>
      <c r="H109" s="1"/>
      <c r="I109" s="143" t="s">
        <v>288</v>
      </c>
      <c r="J109" s="143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>
      <c r="A116" s="143" t="s">
        <v>134</v>
      </c>
      <c r="B116" s="143"/>
      <c r="C116" s="38"/>
      <c r="D116" s="29" t="s">
        <v>321</v>
      </c>
      <c r="E116" s="29"/>
      <c r="F116" s="29"/>
      <c r="G116" s="29"/>
      <c r="H116" s="29"/>
      <c r="I116" s="4"/>
      <c r="J116" s="1"/>
      <c r="K116" s="1"/>
    </row>
    <row r="117" spans="1:11" ht="15.75">
      <c r="A117" s="155" t="s">
        <v>141</v>
      </c>
      <c r="B117" s="155"/>
      <c r="C117" s="38"/>
      <c r="D117" s="29" t="s">
        <v>322</v>
      </c>
      <c r="E117" s="67"/>
      <c r="F117" s="67"/>
      <c r="G117" s="67"/>
      <c r="H117" s="67"/>
      <c r="I117" s="4"/>
      <c r="J117" s="1"/>
      <c r="K117" s="1"/>
    </row>
    <row r="118" spans="1:11" ht="15.75">
      <c r="A118" s="4"/>
      <c r="B118" s="4"/>
      <c r="C118" s="4"/>
      <c r="D118" s="4"/>
      <c r="E118" s="4"/>
      <c r="F118" s="4"/>
      <c r="G118" s="4"/>
      <c r="H118" s="4"/>
      <c r="I118" s="4"/>
      <c r="J118" s="1"/>
      <c r="K118" s="1"/>
    </row>
    <row r="119" spans="1:11" ht="15.75">
      <c r="A119" s="143" t="s">
        <v>323</v>
      </c>
      <c r="B119" s="143"/>
      <c r="C119" s="143"/>
      <c r="D119" s="143"/>
      <c r="E119" s="143"/>
      <c r="F119" s="143"/>
      <c r="G119" s="143"/>
      <c r="H119" s="143"/>
      <c r="I119" s="143"/>
      <c r="J119" s="1"/>
      <c r="K119" s="1"/>
    </row>
    <row r="120" spans="1:11" ht="15.75">
      <c r="A120" s="143" t="s">
        <v>324</v>
      </c>
      <c r="B120" s="143"/>
      <c r="C120" s="143"/>
      <c r="D120" s="143"/>
      <c r="E120" s="143"/>
      <c r="F120" s="143"/>
      <c r="G120" s="143"/>
      <c r="H120" s="143"/>
      <c r="I120" s="143"/>
      <c r="J120" s="1"/>
      <c r="K120" s="1"/>
    </row>
    <row r="121" spans="1:11" ht="15.75">
      <c r="A121" s="143" t="s">
        <v>396</v>
      </c>
      <c r="B121" s="143"/>
      <c r="C121" s="143"/>
      <c r="D121" s="143"/>
      <c r="E121" s="143"/>
      <c r="F121" s="143"/>
      <c r="G121" s="143"/>
      <c r="H121" s="143"/>
      <c r="I121" s="143"/>
      <c r="J121" s="1"/>
      <c r="K121" s="1"/>
    </row>
    <row r="122" spans="1:11" ht="47.25">
      <c r="A122" s="26" t="s">
        <v>271</v>
      </c>
      <c r="B122" s="26" t="s">
        <v>272</v>
      </c>
      <c r="C122" s="26" t="s">
        <v>325</v>
      </c>
      <c r="D122" s="58" t="s">
        <v>274</v>
      </c>
      <c r="E122" s="58" t="s">
        <v>275</v>
      </c>
      <c r="F122" s="58" t="s">
        <v>276</v>
      </c>
      <c r="G122" s="58" t="s">
        <v>277</v>
      </c>
      <c r="H122" s="68" t="s">
        <v>326</v>
      </c>
      <c r="I122" s="26" t="s">
        <v>279</v>
      </c>
      <c r="J122" s="26" t="s">
        <v>280</v>
      </c>
      <c r="K122" s="26" t="s">
        <v>281</v>
      </c>
    </row>
    <row r="123" spans="1:11" ht="15.75">
      <c r="A123" s="3">
        <v>1</v>
      </c>
      <c r="B123" s="3" t="s">
        <v>327</v>
      </c>
      <c r="C123" s="3" t="s">
        <v>328</v>
      </c>
      <c r="D123" s="59">
        <v>0.5</v>
      </c>
      <c r="E123" s="60"/>
      <c r="F123" s="61"/>
      <c r="G123" s="16">
        <f>(D123+E123+F123)*1490000</f>
        <v>745000</v>
      </c>
      <c r="H123" s="16"/>
      <c r="I123" s="16"/>
      <c r="J123" s="16">
        <f>G123</f>
        <v>745000</v>
      </c>
      <c r="K123" s="13"/>
    </row>
    <row r="124" spans="1:11" ht="15.75">
      <c r="A124" s="3">
        <v>3</v>
      </c>
      <c r="B124" s="3" t="s">
        <v>329</v>
      </c>
      <c r="C124" s="3" t="s">
        <v>330</v>
      </c>
      <c r="D124" s="59">
        <v>0.5</v>
      </c>
      <c r="E124" s="60"/>
      <c r="F124" s="16"/>
      <c r="G124" s="16">
        <f aca="true" t="shared" si="10" ref="G124:G131">(D124+E124+F124)*1490000</f>
        <v>745000</v>
      </c>
      <c r="H124" s="16"/>
      <c r="I124" s="16"/>
      <c r="J124" s="16">
        <f aca="true" t="shared" si="11" ref="J124:J131">G124</f>
        <v>745000</v>
      </c>
      <c r="K124" s="13"/>
    </row>
    <row r="125" spans="1:11" ht="15.75">
      <c r="A125" s="3">
        <v>3</v>
      </c>
      <c r="B125" s="3" t="s">
        <v>331</v>
      </c>
      <c r="C125" s="3" t="s">
        <v>332</v>
      </c>
      <c r="D125" s="59">
        <v>0.5</v>
      </c>
      <c r="E125" s="60"/>
      <c r="F125" s="16"/>
      <c r="G125" s="16">
        <f t="shared" si="10"/>
        <v>745000</v>
      </c>
      <c r="H125" s="16"/>
      <c r="I125" s="16"/>
      <c r="J125" s="16">
        <f t="shared" si="11"/>
        <v>745000</v>
      </c>
      <c r="K125" s="13"/>
    </row>
    <row r="126" spans="1:11" ht="15.75">
      <c r="A126" s="3">
        <v>4</v>
      </c>
      <c r="B126" s="3" t="s">
        <v>333</v>
      </c>
      <c r="C126" s="3" t="s">
        <v>334</v>
      </c>
      <c r="D126" s="59">
        <v>0.5</v>
      </c>
      <c r="E126" s="60"/>
      <c r="F126" s="16"/>
      <c r="G126" s="16">
        <f t="shared" si="10"/>
        <v>745000</v>
      </c>
      <c r="H126" s="16"/>
      <c r="I126" s="16"/>
      <c r="J126" s="16">
        <f t="shared" si="11"/>
        <v>745000</v>
      </c>
      <c r="K126" s="13"/>
    </row>
    <row r="127" spans="1:11" ht="15.75">
      <c r="A127" s="3">
        <v>5</v>
      </c>
      <c r="B127" s="3" t="s">
        <v>335</v>
      </c>
      <c r="C127" s="3" t="s">
        <v>336</v>
      </c>
      <c r="D127" s="59">
        <v>0.5</v>
      </c>
      <c r="E127" s="60"/>
      <c r="F127" s="16"/>
      <c r="G127" s="16">
        <f t="shared" si="10"/>
        <v>745000</v>
      </c>
      <c r="H127" s="16"/>
      <c r="I127" s="16"/>
      <c r="J127" s="16">
        <f t="shared" si="11"/>
        <v>745000</v>
      </c>
      <c r="K127" s="13"/>
    </row>
    <row r="128" spans="1:11" ht="15.75">
      <c r="A128" s="3">
        <v>6</v>
      </c>
      <c r="B128" s="3" t="s">
        <v>337</v>
      </c>
      <c r="C128" s="3" t="s">
        <v>338</v>
      </c>
      <c r="D128" s="59">
        <v>0.5</v>
      </c>
      <c r="E128" s="60"/>
      <c r="F128" s="16"/>
      <c r="G128" s="16">
        <f t="shared" si="10"/>
        <v>745000</v>
      </c>
      <c r="H128" s="16"/>
      <c r="I128" s="16"/>
      <c r="J128" s="16">
        <f t="shared" si="11"/>
        <v>745000</v>
      </c>
      <c r="K128" s="13"/>
    </row>
    <row r="129" spans="1:11" ht="15.75">
      <c r="A129" s="3">
        <v>7</v>
      </c>
      <c r="B129" s="3" t="s">
        <v>339</v>
      </c>
      <c r="C129" s="3" t="s">
        <v>340</v>
      </c>
      <c r="D129" s="59">
        <v>0.5</v>
      </c>
      <c r="E129" s="60"/>
      <c r="F129" s="16"/>
      <c r="G129" s="16">
        <f t="shared" si="10"/>
        <v>745000</v>
      </c>
      <c r="H129" s="16"/>
      <c r="I129" s="16"/>
      <c r="J129" s="16">
        <f t="shared" si="11"/>
        <v>745000</v>
      </c>
      <c r="K129" s="13"/>
    </row>
    <row r="130" spans="1:11" ht="15.75">
      <c r="A130" s="3">
        <v>8</v>
      </c>
      <c r="B130" s="3" t="s">
        <v>313</v>
      </c>
      <c r="C130" s="3" t="s">
        <v>341</v>
      </c>
      <c r="D130" s="59">
        <v>0.5</v>
      </c>
      <c r="E130" s="60"/>
      <c r="F130" s="16"/>
      <c r="G130" s="16">
        <f t="shared" si="10"/>
        <v>745000</v>
      </c>
      <c r="H130" s="16"/>
      <c r="I130" s="16"/>
      <c r="J130" s="16">
        <f t="shared" si="11"/>
        <v>745000</v>
      </c>
      <c r="K130" s="13"/>
    </row>
    <row r="131" spans="1:11" ht="15.75">
      <c r="A131" s="3">
        <v>9</v>
      </c>
      <c r="B131" s="3" t="s">
        <v>342</v>
      </c>
      <c r="C131" s="3" t="s">
        <v>343</v>
      </c>
      <c r="D131" s="59">
        <v>0.5</v>
      </c>
      <c r="E131" s="60"/>
      <c r="F131" s="16"/>
      <c r="G131" s="16">
        <f t="shared" si="10"/>
        <v>745000</v>
      </c>
      <c r="H131" s="16"/>
      <c r="I131" s="16"/>
      <c r="J131" s="16">
        <f t="shared" si="11"/>
        <v>745000</v>
      </c>
      <c r="K131" s="13"/>
    </row>
    <row r="132" spans="1:11" ht="15.75">
      <c r="A132" s="153" t="s">
        <v>138</v>
      </c>
      <c r="B132" s="153"/>
      <c r="C132" s="153"/>
      <c r="D132" s="65">
        <f aca="true" t="shared" si="12" ref="D132:J132">SUM(D123:D131)</f>
        <v>4.5</v>
      </c>
      <c r="E132" s="63">
        <f t="shared" si="12"/>
        <v>0</v>
      </c>
      <c r="F132" s="64">
        <f t="shared" si="12"/>
        <v>0</v>
      </c>
      <c r="G132" s="15">
        <f t="shared" si="12"/>
        <v>6705000</v>
      </c>
      <c r="H132" s="15">
        <f t="shared" si="12"/>
        <v>0</v>
      </c>
      <c r="I132" s="15">
        <f t="shared" si="12"/>
        <v>0</v>
      </c>
      <c r="J132" s="15">
        <f t="shared" si="12"/>
        <v>6705000</v>
      </c>
      <c r="K132" s="13"/>
    </row>
    <row r="133" spans="1:11" ht="15.75">
      <c r="A133" s="156" t="s">
        <v>390</v>
      </c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</row>
    <row r="134" spans="1:11" ht="15.75">
      <c r="A134" s="7"/>
      <c r="B134" s="6"/>
      <c r="C134" s="6"/>
      <c r="D134" s="6"/>
      <c r="E134" s="6"/>
      <c r="F134" s="6"/>
      <c r="G134" s="6"/>
      <c r="H134" s="6"/>
      <c r="I134" s="6"/>
      <c r="J134" s="1"/>
      <c r="K134" s="1"/>
    </row>
    <row r="135" spans="1:11" ht="15.75">
      <c r="A135" s="143" t="s">
        <v>147</v>
      </c>
      <c r="B135" s="143"/>
      <c r="C135" s="4"/>
      <c r="D135" s="4"/>
      <c r="E135" s="4"/>
      <c r="F135" s="1"/>
      <c r="G135" s="1"/>
      <c r="H135" s="1"/>
      <c r="I135" s="143" t="s">
        <v>288</v>
      </c>
      <c r="J135" s="143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>
      <c r="A140" s="144" t="s">
        <v>289</v>
      </c>
      <c r="B140" s="144"/>
      <c r="C140" s="5"/>
      <c r="D140" s="1"/>
      <c r="E140" s="1"/>
      <c r="F140" s="1"/>
      <c r="G140" s="1"/>
      <c r="H140" s="1"/>
      <c r="I140" s="144" t="s">
        <v>215</v>
      </c>
      <c r="J140" s="144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>
      <c r="A145" s="7"/>
      <c r="B145" s="7"/>
      <c r="C145" s="4"/>
      <c r="D145" s="4"/>
      <c r="E145" s="4"/>
      <c r="F145" s="1"/>
      <c r="G145" s="1"/>
      <c r="H145" s="1"/>
      <c r="I145" s="7"/>
      <c r="J145" s="7"/>
      <c r="K145" s="1"/>
    </row>
    <row r="146" spans="1:11" ht="15.75">
      <c r="A146" s="38" t="s">
        <v>345</v>
      </c>
      <c r="B146" s="1"/>
      <c r="C146" s="1"/>
      <c r="D146" s="38" t="s">
        <v>346</v>
      </c>
      <c r="E146" s="1"/>
      <c r="F146" s="1"/>
      <c r="G146" s="1"/>
      <c r="H146" s="1"/>
      <c r="I146" s="1"/>
      <c r="J146" s="1"/>
      <c r="K146" s="1"/>
    </row>
    <row r="147" spans="1:11" ht="15.75">
      <c r="A147" s="155" t="s">
        <v>141</v>
      </c>
      <c r="B147" s="155"/>
      <c r="C147" s="38"/>
      <c r="D147" s="155" t="s">
        <v>269</v>
      </c>
      <c r="E147" s="155"/>
      <c r="F147" s="155"/>
      <c r="G147" s="155"/>
      <c r="H147" s="155"/>
      <c r="I147" s="4"/>
      <c r="J147" s="1"/>
      <c r="K147" s="1"/>
    </row>
    <row r="148" spans="1:11" ht="15.75">
      <c r="A148" s="4"/>
      <c r="B148" s="4"/>
      <c r="C148" s="4"/>
      <c r="D148" s="4"/>
      <c r="E148" s="4"/>
      <c r="F148" s="4"/>
      <c r="G148" s="4"/>
      <c r="H148" s="4"/>
      <c r="I148" s="4"/>
      <c r="J148" s="1"/>
      <c r="K148" s="1"/>
    </row>
    <row r="149" spans="1:11" ht="15.75">
      <c r="A149" s="143" t="s">
        <v>347</v>
      </c>
      <c r="B149" s="143"/>
      <c r="C149" s="143"/>
      <c r="D149" s="143"/>
      <c r="E149" s="143"/>
      <c r="F149" s="143"/>
      <c r="G149" s="143"/>
      <c r="H149" s="143"/>
      <c r="I149" s="143"/>
      <c r="J149" s="1"/>
      <c r="K149" s="1"/>
    </row>
    <row r="150" spans="1:11" ht="15.75">
      <c r="A150" s="143" t="s">
        <v>396</v>
      </c>
      <c r="B150" s="143"/>
      <c r="C150" s="143"/>
      <c r="D150" s="143"/>
      <c r="E150" s="143"/>
      <c r="F150" s="143"/>
      <c r="G150" s="143"/>
      <c r="H150" s="143"/>
      <c r="I150" s="143"/>
      <c r="J150" s="1"/>
      <c r="K150" s="1"/>
    </row>
    <row r="151" spans="1:11" ht="15.75">
      <c r="A151" s="143"/>
      <c r="B151" s="143"/>
      <c r="C151" s="143"/>
      <c r="D151" s="143"/>
      <c r="E151" s="143"/>
      <c r="F151" s="143"/>
      <c r="G151" s="143"/>
      <c r="H151" s="143"/>
      <c r="I151" s="143"/>
      <c r="J151" s="1"/>
      <c r="K151" s="1"/>
    </row>
    <row r="152" spans="1:11" ht="47.25">
      <c r="A152" s="26" t="s">
        <v>271</v>
      </c>
      <c r="B152" s="26" t="s">
        <v>272</v>
      </c>
      <c r="C152" s="26" t="s">
        <v>273</v>
      </c>
      <c r="D152" s="58" t="s">
        <v>344</v>
      </c>
      <c r="E152" s="58" t="s">
        <v>275</v>
      </c>
      <c r="F152" s="58" t="s">
        <v>276</v>
      </c>
      <c r="G152" s="58" t="s">
        <v>277</v>
      </c>
      <c r="H152" s="58" t="s">
        <v>278</v>
      </c>
      <c r="I152" s="26" t="s">
        <v>279</v>
      </c>
      <c r="J152" s="26" t="s">
        <v>280</v>
      </c>
      <c r="K152" s="26" t="s">
        <v>281</v>
      </c>
    </row>
    <row r="153" spans="1:11" ht="15.75">
      <c r="A153" s="3">
        <v>1</v>
      </c>
      <c r="B153" s="3" t="s">
        <v>102</v>
      </c>
      <c r="C153" s="3" t="s">
        <v>156</v>
      </c>
      <c r="D153" s="59">
        <v>1</v>
      </c>
      <c r="E153" s="60"/>
      <c r="F153" s="60"/>
      <c r="G153" s="16">
        <f>D153*1490000</f>
        <v>1490000</v>
      </c>
      <c r="H153" s="16"/>
      <c r="I153" s="16"/>
      <c r="J153" s="16">
        <f>G153*D153</f>
        <v>1490000</v>
      </c>
      <c r="K153" s="13"/>
    </row>
    <row r="154" spans="1:11" ht="15.75">
      <c r="A154" s="3">
        <v>2</v>
      </c>
      <c r="B154" s="3" t="s">
        <v>300</v>
      </c>
      <c r="C154" s="3" t="s">
        <v>241</v>
      </c>
      <c r="D154" s="59">
        <v>1</v>
      </c>
      <c r="E154" s="60"/>
      <c r="F154" s="60"/>
      <c r="G154" s="16">
        <f>D154*1490000</f>
        <v>1490000</v>
      </c>
      <c r="H154" s="16"/>
      <c r="I154" s="16"/>
      <c r="J154" s="16">
        <f>G154*D154</f>
        <v>1490000</v>
      </c>
      <c r="K154" s="13"/>
    </row>
    <row r="155" spans="1:11" ht="15.75">
      <c r="A155" s="3">
        <v>3</v>
      </c>
      <c r="B155" s="3" t="s">
        <v>302</v>
      </c>
      <c r="C155" s="3" t="s">
        <v>348</v>
      </c>
      <c r="D155" s="59">
        <v>1</v>
      </c>
      <c r="E155" s="60"/>
      <c r="F155" s="60"/>
      <c r="G155" s="16">
        <f>D155*1490000</f>
        <v>1490000</v>
      </c>
      <c r="H155" s="16"/>
      <c r="I155" s="16"/>
      <c r="J155" s="16">
        <f>G155*D155</f>
        <v>1490000</v>
      </c>
      <c r="K155" s="13"/>
    </row>
    <row r="156" spans="1:11" ht="15.75">
      <c r="A156" s="153" t="s">
        <v>138</v>
      </c>
      <c r="B156" s="153"/>
      <c r="C156" s="153"/>
      <c r="D156" s="65">
        <f>SUM(D153:D155)</f>
        <v>3</v>
      </c>
      <c r="E156" s="63">
        <f>SUM(E153:E153)</f>
        <v>0</v>
      </c>
      <c r="F156" s="64">
        <f>SUM(F153:F153)</f>
        <v>0</v>
      </c>
      <c r="G156" s="15">
        <f>SUM(G153:G155)</f>
        <v>4470000</v>
      </c>
      <c r="H156" s="15">
        <f>SUM(H153:H153)</f>
        <v>0</v>
      </c>
      <c r="I156" s="15">
        <f>SUM(I153:I153)</f>
        <v>0</v>
      </c>
      <c r="J156" s="15">
        <f>SUM(J153:J155)</f>
        <v>4470000</v>
      </c>
      <c r="K156" s="13"/>
    </row>
    <row r="157" spans="1:11" ht="15.75">
      <c r="A157" s="156" t="s">
        <v>391</v>
      </c>
      <c r="B157" s="156"/>
      <c r="C157" s="156"/>
      <c r="D157" s="156"/>
      <c r="E157" s="156"/>
      <c r="F157" s="156"/>
      <c r="G157" s="156"/>
      <c r="H157" s="156"/>
      <c r="I157" s="156"/>
      <c r="J157" s="156"/>
      <c r="K157" s="156"/>
    </row>
    <row r="158" spans="1:11" ht="15.75">
      <c r="A158" s="7"/>
      <c r="B158" s="6"/>
      <c r="C158" s="6"/>
      <c r="D158" s="6"/>
      <c r="E158" s="6"/>
      <c r="F158" s="6"/>
      <c r="G158" s="6"/>
      <c r="H158" s="6"/>
      <c r="I158" s="6"/>
      <c r="J158" s="1"/>
      <c r="K158" s="1"/>
    </row>
    <row r="159" spans="1:11" ht="15.75">
      <c r="A159" s="143" t="s">
        <v>147</v>
      </c>
      <c r="B159" s="143"/>
      <c r="C159" s="4"/>
      <c r="D159" s="4"/>
      <c r="E159" s="4"/>
      <c r="F159" s="1"/>
      <c r="G159" s="1"/>
      <c r="H159" s="1"/>
      <c r="I159" s="143" t="s">
        <v>288</v>
      </c>
      <c r="J159" s="143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.75">
      <c r="A164" s="144" t="s">
        <v>289</v>
      </c>
      <c r="B164" s="144"/>
      <c r="C164" s="1"/>
      <c r="D164" s="1"/>
      <c r="E164" s="1"/>
      <c r="F164" s="1"/>
      <c r="G164" s="1"/>
      <c r="H164" s="1"/>
      <c r="I164" s="144" t="s">
        <v>215</v>
      </c>
      <c r="J164" s="144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5.75">
      <c r="A177" s="143" t="s">
        <v>134</v>
      </c>
      <c r="B177" s="143"/>
      <c r="C177" s="38"/>
      <c r="D177" s="143" t="s">
        <v>137</v>
      </c>
      <c r="E177" s="143"/>
      <c r="F177" s="143"/>
      <c r="G177" s="143"/>
      <c r="H177" s="143"/>
      <c r="I177" s="4"/>
      <c r="J177" s="1"/>
      <c r="K177" s="1"/>
    </row>
    <row r="178" spans="1:11" ht="15.75">
      <c r="A178" s="155" t="s">
        <v>141</v>
      </c>
      <c r="B178" s="155"/>
      <c r="C178" s="38"/>
      <c r="D178" s="155" t="s">
        <v>269</v>
      </c>
      <c r="E178" s="155"/>
      <c r="F178" s="155"/>
      <c r="G178" s="155"/>
      <c r="H178" s="155"/>
      <c r="I178" s="4"/>
      <c r="J178" s="1"/>
      <c r="K178" s="1"/>
    </row>
    <row r="179" spans="1:11" ht="15.75">
      <c r="A179" s="85"/>
      <c r="B179" s="85"/>
      <c r="C179" s="38"/>
      <c r="D179" s="85"/>
      <c r="E179" s="85"/>
      <c r="F179" s="85"/>
      <c r="G179" s="85"/>
      <c r="H179" s="85"/>
      <c r="I179" s="4"/>
      <c r="J179" s="1"/>
      <c r="K179" s="1"/>
    </row>
    <row r="180" spans="1:11" ht="15.75">
      <c r="A180" s="143" t="s">
        <v>133</v>
      </c>
      <c r="B180" s="143"/>
      <c r="C180" s="143"/>
      <c r="D180" s="143"/>
      <c r="E180" s="143"/>
      <c r="F180" s="143"/>
      <c r="G180" s="143"/>
      <c r="H180" s="143"/>
      <c r="I180" s="143"/>
      <c r="J180" s="1"/>
      <c r="K180" s="1"/>
    </row>
    <row r="181" spans="1:11" ht="15.75">
      <c r="A181" s="143" t="s">
        <v>190</v>
      </c>
      <c r="B181" s="143"/>
      <c r="C181" s="143"/>
      <c r="D181" s="143"/>
      <c r="E181" s="143"/>
      <c r="F181" s="143"/>
      <c r="G181" s="143"/>
      <c r="H181" s="143"/>
      <c r="I181" s="143"/>
      <c r="J181" s="1"/>
      <c r="K181" s="1"/>
    </row>
    <row r="182" spans="1:11" ht="15.75">
      <c r="A182" s="7"/>
      <c r="B182" s="7"/>
      <c r="C182" s="7"/>
      <c r="D182" s="7"/>
      <c r="E182" s="7"/>
      <c r="F182" s="7"/>
      <c r="G182" s="7"/>
      <c r="H182" s="7"/>
      <c r="I182" s="7"/>
      <c r="J182" s="1"/>
      <c r="K182" s="1"/>
    </row>
    <row r="183" spans="1:10" ht="63">
      <c r="A183" s="26" t="s">
        <v>271</v>
      </c>
      <c r="B183" s="26" t="s">
        <v>272</v>
      </c>
      <c r="C183" s="26" t="s">
        <v>273</v>
      </c>
      <c r="D183" s="58" t="s">
        <v>43</v>
      </c>
      <c r="E183" s="58" t="s">
        <v>129</v>
      </c>
      <c r="F183" s="58" t="s">
        <v>130</v>
      </c>
      <c r="G183" s="58" t="s">
        <v>131</v>
      </c>
      <c r="H183" s="26" t="s">
        <v>280</v>
      </c>
      <c r="I183" s="26" t="s">
        <v>281</v>
      </c>
      <c r="J183" s="90" t="s">
        <v>368</v>
      </c>
    </row>
    <row r="184" spans="1:11" ht="15.75">
      <c r="A184" s="39">
        <v>1</v>
      </c>
      <c r="B184" s="40" t="s">
        <v>41</v>
      </c>
      <c r="C184" s="40" t="s">
        <v>42</v>
      </c>
      <c r="D184" s="88">
        <v>0.24</v>
      </c>
      <c r="E184" s="88">
        <v>3.03</v>
      </c>
      <c r="F184" s="88">
        <f>E184*11%</f>
        <v>0.3333</v>
      </c>
      <c r="G184" s="87"/>
      <c r="H184" s="87">
        <f>(F184+G184)*1210000</f>
        <v>403293</v>
      </c>
      <c r="I184" s="39"/>
      <c r="J184" s="39"/>
      <c r="K184" s="39"/>
    </row>
    <row r="185" spans="1:11" ht="15.75">
      <c r="A185" s="39">
        <v>2</v>
      </c>
      <c r="B185" s="40" t="s">
        <v>314</v>
      </c>
      <c r="C185" s="40" t="s">
        <v>132</v>
      </c>
      <c r="D185" s="88">
        <v>0.22</v>
      </c>
      <c r="E185" s="88">
        <v>1.5</v>
      </c>
      <c r="F185" s="88">
        <f>E185*16%</f>
        <v>0.24</v>
      </c>
      <c r="G185" s="88">
        <f>(D185+E185+F185)*50%</f>
        <v>0.98</v>
      </c>
      <c r="H185" s="87">
        <f>(F185+G185)*1210000</f>
        <v>1476200</v>
      </c>
      <c r="I185" s="39"/>
      <c r="J185" s="39"/>
      <c r="K185" s="39"/>
    </row>
    <row r="186" spans="1:11" ht="15.75">
      <c r="A186" s="39">
        <v>3</v>
      </c>
      <c r="B186" s="40" t="s">
        <v>318</v>
      </c>
      <c r="C186" s="40" t="s">
        <v>132</v>
      </c>
      <c r="D186" s="88">
        <v>0.22</v>
      </c>
      <c r="E186" s="88">
        <v>1.5</v>
      </c>
      <c r="F186" s="115">
        <f>E186*5%</f>
        <v>0.07500000000000001</v>
      </c>
      <c r="G186" s="88">
        <f>(D186+E186+F186)*50%</f>
        <v>0.8975</v>
      </c>
      <c r="H186" s="87">
        <f>(F186+G186)*1210000</f>
        <v>1176725</v>
      </c>
      <c r="I186" s="39"/>
      <c r="J186" s="39"/>
      <c r="K186" s="39"/>
    </row>
    <row r="187" spans="1:11" ht="15.75">
      <c r="A187" s="39">
        <v>4</v>
      </c>
      <c r="B187" s="89" t="s">
        <v>353</v>
      </c>
      <c r="C187" s="89" t="s">
        <v>38</v>
      </c>
      <c r="D187" s="59">
        <v>0.2</v>
      </c>
      <c r="E187" s="60">
        <v>0.56</v>
      </c>
      <c r="F187" s="60"/>
      <c r="G187" s="88">
        <f>(D187+E187+F187)*50%</f>
        <v>0.38</v>
      </c>
      <c r="H187" s="87">
        <f>(F187+G187)*1210000</f>
        <v>459800</v>
      </c>
      <c r="I187" s="16"/>
      <c r="J187" s="16"/>
      <c r="K187" s="13"/>
    </row>
    <row r="188" spans="1:11" ht="15.75">
      <c r="A188" s="153" t="s">
        <v>138</v>
      </c>
      <c r="B188" s="153"/>
      <c r="C188" s="153"/>
      <c r="D188" s="65">
        <f>SUM(D184:D187)</f>
        <v>0.8799999999999999</v>
      </c>
      <c r="E188" s="65">
        <f>SUM(E184:E187)</f>
        <v>6.59</v>
      </c>
      <c r="F188" s="65">
        <f>SUM(F184:F187)</f>
        <v>0.6482999999999999</v>
      </c>
      <c r="G188" s="65">
        <f>SUM(G184:G187)</f>
        <v>2.2575</v>
      </c>
      <c r="H188" s="77">
        <f>SUM(H184:H187)</f>
        <v>3516018</v>
      </c>
      <c r="I188" s="77"/>
      <c r="J188" s="78"/>
      <c r="K188" s="77">
        <f>SUM(K187:K187)</f>
        <v>0</v>
      </c>
    </row>
    <row r="189" spans="1:11" ht="15.75">
      <c r="A189" s="154" t="s">
        <v>157</v>
      </c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</row>
    <row r="190" spans="1:11" ht="15.75">
      <c r="A190" s="143" t="s">
        <v>147</v>
      </c>
      <c r="B190" s="143"/>
      <c r="C190" s="4"/>
      <c r="D190" s="4"/>
      <c r="E190" s="4"/>
      <c r="F190" s="1"/>
      <c r="G190" s="1"/>
      <c r="H190" s="1"/>
      <c r="I190" s="143" t="s">
        <v>288</v>
      </c>
      <c r="J190" s="143"/>
      <c r="K190" s="1"/>
    </row>
    <row r="195" spans="1:10" ht="15.75">
      <c r="A195" s="144" t="s">
        <v>289</v>
      </c>
      <c r="B195" s="144"/>
      <c r="I195" s="144" t="s">
        <v>215</v>
      </c>
      <c r="J195" s="144"/>
    </row>
  </sheetData>
  <sheetProtection/>
  <mergeCells count="83">
    <mergeCell ref="A4:B4"/>
    <mergeCell ref="D4:H4"/>
    <mergeCell ref="A5:B5"/>
    <mergeCell ref="D5:H5"/>
    <mergeCell ref="A7:I7"/>
    <mergeCell ref="A8:I8"/>
    <mergeCell ref="A20:C20"/>
    <mergeCell ref="A21:K21"/>
    <mergeCell ref="A23:B23"/>
    <mergeCell ref="I23:J23"/>
    <mergeCell ref="A25:I25"/>
    <mergeCell ref="A27:B27"/>
    <mergeCell ref="I27:J27"/>
    <mergeCell ref="A33:B33"/>
    <mergeCell ref="D33:H33"/>
    <mergeCell ref="A34:B34"/>
    <mergeCell ref="D34:H34"/>
    <mergeCell ref="A36:I36"/>
    <mergeCell ref="A37:I37"/>
    <mergeCell ref="A49:C49"/>
    <mergeCell ref="A50:K50"/>
    <mergeCell ref="A52:B52"/>
    <mergeCell ref="I52:J52"/>
    <mergeCell ref="A54:I54"/>
    <mergeCell ref="A56:B56"/>
    <mergeCell ref="I56:J56"/>
    <mergeCell ref="A61:B61"/>
    <mergeCell ref="D61:H61"/>
    <mergeCell ref="A62:B62"/>
    <mergeCell ref="D62:H62"/>
    <mergeCell ref="A64:I64"/>
    <mergeCell ref="A65:I65"/>
    <mergeCell ref="A77:C77"/>
    <mergeCell ref="A78:K78"/>
    <mergeCell ref="A80:B80"/>
    <mergeCell ref="I80:J80"/>
    <mergeCell ref="A82:I82"/>
    <mergeCell ref="A84:B84"/>
    <mergeCell ref="I84:J84"/>
    <mergeCell ref="A86:B86"/>
    <mergeCell ref="D86:H86"/>
    <mergeCell ref="A87:B87"/>
    <mergeCell ref="D87:H87"/>
    <mergeCell ref="A109:B109"/>
    <mergeCell ref="I109:J109"/>
    <mergeCell ref="A88:I88"/>
    <mergeCell ref="A89:I89"/>
    <mergeCell ref="A107:C107"/>
    <mergeCell ref="A108:K108"/>
    <mergeCell ref="A116:B116"/>
    <mergeCell ref="A117:B117"/>
    <mergeCell ref="A119:I119"/>
    <mergeCell ref="A120:I120"/>
    <mergeCell ref="A151:I151"/>
    <mergeCell ref="A140:B140"/>
    <mergeCell ref="I140:J140"/>
    <mergeCell ref="A121:I121"/>
    <mergeCell ref="A132:C132"/>
    <mergeCell ref="A133:K133"/>
    <mergeCell ref="A135:B135"/>
    <mergeCell ref="I135:J135"/>
    <mergeCell ref="A156:C156"/>
    <mergeCell ref="A147:B147"/>
    <mergeCell ref="D147:H147"/>
    <mergeCell ref="I164:J164"/>
    <mergeCell ref="A164:B164"/>
    <mergeCell ref="A157:K157"/>
    <mergeCell ref="A159:B159"/>
    <mergeCell ref="I159:J159"/>
    <mergeCell ref="A149:I149"/>
    <mergeCell ref="A150:I150"/>
    <mergeCell ref="A177:B177"/>
    <mergeCell ref="D177:H177"/>
    <mergeCell ref="A178:B178"/>
    <mergeCell ref="D178:H178"/>
    <mergeCell ref="A195:B195"/>
    <mergeCell ref="I195:J195"/>
    <mergeCell ref="A180:I180"/>
    <mergeCell ref="A181:I181"/>
    <mergeCell ref="A188:C188"/>
    <mergeCell ref="A189:K189"/>
    <mergeCell ref="A190:B190"/>
    <mergeCell ref="I190:J190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3:D20"/>
  <sheetViews>
    <sheetView view="pageBreakPreview" zoomScale="150" zoomScaleNormal="150" zoomScaleSheetLayoutView="150" zoomScalePageLayoutView="0" workbookViewId="0" topLeftCell="A4">
      <selection activeCell="B11" sqref="B11"/>
    </sheetView>
  </sheetViews>
  <sheetFormatPr defaultColWidth="9.140625" defaultRowHeight="12.75"/>
  <cols>
    <col min="1" max="1" width="5.8515625" style="36" customWidth="1"/>
    <col min="2" max="2" width="60.28125" style="36" customWidth="1"/>
    <col min="3" max="3" width="15.57421875" style="36" customWidth="1"/>
    <col min="4" max="4" width="15.28125" style="36" customWidth="1"/>
    <col min="5" max="16384" width="9.140625" style="36" customWidth="1"/>
  </cols>
  <sheetData>
    <row r="3" spans="1:4" ht="16.5">
      <c r="A3" s="33" t="s">
        <v>246</v>
      </c>
      <c r="B3" s="33"/>
      <c r="C3" s="33"/>
      <c r="D3" s="33"/>
    </row>
    <row r="4" spans="1:4" ht="16.5">
      <c r="A4" s="76" t="s">
        <v>247</v>
      </c>
      <c r="B4" s="69"/>
      <c r="C4" s="69"/>
      <c r="D4" s="69"/>
    </row>
    <row r="5" spans="1:2" ht="16.5">
      <c r="A5" s="70"/>
      <c r="B5" s="70"/>
    </row>
    <row r="6" spans="1:4" ht="16.5">
      <c r="A6" s="126" t="s">
        <v>399</v>
      </c>
      <c r="B6" s="126"/>
      <c r="C6" s="126"/>
      <c r="D6" s="126"/>
    </row>
    <row r="7" spans="1:4" ht="16.5">
      <c r="A7" s="157" t="s">
        <v>369</v>
      </c>
      <c r="B7" s="157"/>
      <c r="C7" s="157"/>
      <c r="D7" s="157"/>
    </row>
    <row r="8" ht="16.5">
      <c r="C8" s="36" t="s">
        <v>371</v>
      </c>
    </row>
    <row r="9" spans="1:4" ht="33">
      <c r="A9" s="37" t="s">
        <v>366</v>
      </c>
      <c r="B9" s="37" t="s">
        <v>367</v>
      </c>
      <c r="C9" s="37" t="s">
        <v>142</v>
      </c>
      <c r="D9" s="37" t="s">
        <v>368</v>
      </c>
    </row>
    <row r="10" spans="1:4" ht="31.5">
      <c r="A10" s="71">
        <v>1</v>
      </c>
      <c r="B10" s="40" t="s">
        <v>32</v>
      </c>
      <c r="C10" s="72">
        <v>20000000</v>
      </c>
      <c r="D10" s="113" t="s">
        <v>370</v>
      </c>
    </row>
    <row r="11" spans="1:4" ht="25.5">
      <c r="A11" s="71">
        <v>2</v>
      </c>
      <c r="B11" s="40" t="s">
        <v>83</v>
      </c>
      <c r="C11" s="72">
        <v>400000000</v>
      </c>
      <c r="D11" s="113" t="s">
        <v>370</v>
      </c>
    </row>
    <row r="12" spans="1:4" ht="16.5">
      <c r="A12" s="158" t="s">
        <v>138</v>
      </c>
      <c r="B12" s="159"/>
      <c r="C12" s="74">
        <f>SUM(C10:C11)</f>
        <v>420000000</v>
      </c>
      <c r="D12" s="73"/>
    </row>
    <row r="13" spans="1:4" ht="16.5">
      <c r="A13" s="75"/>
      <c r="B13" s="75"/>
      <c r="C13" s="75"/>
      <c r="D13" s="32"/>
    </row>
    <row r="14" spans="1:4" ht="16.5">
      <c r="A14" s="76" t="s">
        <v>1</v>
      </c>
      <c r="B14" s="76"/>
      <c r="C14" s="76"/>
      <c r="D14" s="76"/>
    </row>
    <row r="20" spans="1:4" ht="17.25">
      <c r="A20" s="52" t="s">
        <v>400</v>
      </c>
      <c r="B20" s="52"/>
      <c r="C20" s="52"/>
      <c r="D20" s="52"/>
    </row>
  </sheetData>
  <sheetProtection/>
  <mergeCells count="3">
    <mergeCell ref="A6:D6"/>
    <mergeCell ref="A7:D7"/>
    <mergeCell ref="A12:B12"/>
  </mergeCells>
  <printOptions/>
  <pageMargins left="0.75" right="0.2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4:E33"/>
  <sheetViews>
    <sheetView view="pageBreakPreview" zoomScale="150" zoomScaleSheetLayoutView="150" zoomScalePageLayoutView="0" workbookViewId="0" topLeftCell="A10">
      <selection activeCell="D22" sqref="D22"/>
    </sheetView>
  </sheetViews>
  <sheetFormatPr defaultColWidth="9.140625" defaultRowHeight="12.75"/>
  <cols>
    <col min="1" max="1" width="9.421875" style="0" customWidth="1"/>
    <col min="2" max="2" width="16.8515625" style="0" customWidth="1"/>
    <col min="3" max="3" width="10.7109375" style="0" customWidth="1"/>
    <col min="4" max="4" width="36.421875" style="0" customWidth="1"/>
    <col min="5" max="5" width="20.8515625" style="0" customWidth="1"/>
    <col min="6" max="6" width="13.8515625" style="0" customWidth="1"/>
  </cols>
  <sheetData>
    <row r="4" spans="1:5" ht="18.75">
      <c r="A4" s="140" t="s">
        <v>134</v>
      </c>
      <c r="B4" s="140"/>
      <c r="C4" s="140" t="s">
        <v>137</v>
      </c>
      <c r="D4" s="140"/>
      <c r="E4" s="140"/>
    </row>
    <row r="5" spans="1:5" ht="18.75">
      <c r="A5" s="165" t="s">
        <v>141</v>
      </c>
      <c r="B5" s="165"/>
      <c r="C5" s="165" t="s">
        <v>139</v>
      </c>
      <c r="D5" s="165"/>
      <c r="E5" s="165"/>
    </row>
    <row r="6" spans="1:5" ht="12.75">
      <c r="A6" s="2"/>
      <c r="B6" s="2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9.5">
      <c r="A8" s="160" t="s">
        <v>401</v>
      </c>
      <c r="B8" s="160"/>
      <c r="C8" s="160"/>
      <c r="D8" s="160"/>
      <c r="E8" s="160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31.5">
      <c r="A11" s="26" t="s">
        <v>216</v>
      </c>
      <c r="B11" s="26" t="s">
        <v>217</v>
      </c>
      <c r="C11" s="26" t="s">
        <v>218</v>
      </c>
      <c r="D11" s="26" t="s">
        <v>140</v>
      </c>
      <c r="E11" s="26" t="s">
        <v>219</v>
      </c>
    </row>
    <row r="12" spans="1:5" ht="16.5">
      <c r="A12" s="161" t="s">
        <v>238</v>
      </c>
      <c r="B12" s="161"/>
      <c r="C12" s="161"/>
      <c r="D12" s="161"/>
      <c r="E12" s="55">
        <f>SUM(E13)</f>
        <v>3977000000</v>
      </c>
    </row>
    <row r="13" spans="1:5" ht="16.5" customHeight="1">
      <c r="A13" s="162" t="s">
        <v>27</v>
      </c>
      <c r="B13" s="163"/>
      <c r="C13" s="163"/>
      <c r="D13" s="164"/>
      <c r="E13" s="55">
        <f>SUM(E19+E25)</f>
        <v>3977000000</v>
      </c>
    </row>
    <row r="14" spans="1:5" ht="16.5">
      <c r="A14" s="82">
        <v>757</v>
      </c>
      <c r="B14" s="82">
        <v>190</v>
      </c>
      <c r="C14" s="82">
        <v>2801</v>
      </c>
      <c r="D14" s="84" t="s">
        <v>34</v>
      </c>
      <c r="E14" s="83">
        <v>25000000</v>
      </c>
    </row>
    <row r="15" spans="1:5" ht="16.5">
      <c r="A15" s="81">
        <v>757</v>
      </c>
      <c r="B15" s="81">
        <v>195</v>
      </c>
      <c r="C15" s="81">
        <v>2860</v>
      </c>
      <c r="D15" s="45" t="s">
        <v>26</v>
      </c>
      <c r="E15" s="80">
        <v>32000000</v>
      </c>
    </row>
    <row r="16" spans="1:5" ht="16.5">
      <c r="A16" s="81">
        <v>757</v>
      </c>
      <c r="B16" s="81">
        <v>195</v>
      </c>
      <c r="C16" s="81">
        <v>1701</v>
      </c>
      <c r="D16" s="45" t="s">
        <v>25</v>
      </c>
      <c r="E16" s="56">
        <v>394000000</v>
      </c>
    </row>
    <row r="17" spans="1:5" ht="16.5">
      <c r="A17" s="81">
        <v>757</v>
      </c>
      <c r="B17" s="81">
        <v>345</v>
      </c>
      <c r="C17" s="81">
        <v>1601</v>
      </c>
      <c r="D17" s="45" t="s">
        <v>82</v>
      </c>
      <c r="E17" s="56">
        <v>6000000</v>
      </c>
    </row>
    <row r="18" spans="1:5" ht="16.5">
      <c r="A18" s="81">
        <v>757</v>
      </c>
      <c r="B18" s="81">
        <v>345</v>
      </c>
      <c r="C18" s="81">
        <v>1003</v>
      </c>
      <c r="D18" s="45" t="s">
        <v>33</v>
      </c>
      <c r="E18" s="56">
        <v>128000000</v>
      </c>
    </row>
    <row r="19" spans="1:5" ht="17.25">
      <c r="A19" s="166" t="s">
        <v>84</v>
      </c>
      <c r="B19" s="166"/>
      <c r="C19" s="166"/>
      <c r="D19" s="166"/>
      <c r="E19" s="57">
        <f>SUM(E14:E18)</f>
        <v>585000000</v>
      </c>
    </row>
    <row r="20" spans="1:5" ht="16.5">
      <c r="A20" s="81">
        <v>860</v>
      </c>
      <c r="B20" s="81">
        <v>345</v>
      </c>
      <c r="C20" s="81">
        <v>3902</v>
      </c>
      <c r="D20" s="45" t="s">
        <v>144</v>
      </c>
      <c r="E20" s="80">
        <v>33000000</v>
      </c>
    </row>
    <row r="21" spans="1:5" ht="16.5">
      <c r="A21" s="81">
        <v>860</v>
      </c>
      <c r="B21" s="81">
        <v>345</v>
      </c>
      <c r="C21" s="81">
        <v>4949</v>
      </c>
      <c r="D21" s="45" t="s">
        <v>145</v>
      </c>
      <c r="E21" s="56">
        <v>73000000</v>
      </c>
    </row>
    <row r="22" spans="1:5" ht="16.5">
      <c r="A22" s="81">
        <v>860</v>
      </c>
      <c r="B22" s="81">
        <v>345</v>
      </c>
      <c r="C22" s="81">
        <v>2716</v>
      </c>
      <c r="D22" s="45" t="s">
        <v>194</v>
      </c>
      <c r="E22" s="56">
        <v>105000000</v>
      </c>
    </row>
    <row r="23" spans="1:5" ht="16.5">
      <c r="A23" s="81">
        <v>860</v>
      </c>
      <c r="B23" s="81">
        <v>408</v>
      </c>
      <c r="C23" s="81">
        <v>4501</v>
      </c>
      <c r="D23" s="45" t="s">
        <v>146</v>
      </c>
      <c r="E23" s="56">
        <v>70000000</v>
      </c>
    </row>
    <row r="24" spans="1:5" ht="16.5">
      <c r="A24" s="81">
        <v>860</v>
      </c>
      <c r="B24" s="81">
        <v>356</v>
      </c>
      <c r="C24" s="81">
        <v>4651</v>
      </c>
      <c r="D24" s="45" t="s">
        <v>214</v>
      </c>
      <c r="E24" s="114">
        <v>3111000000</v>
      </c>
    </row>
    <row r="25" spans="1:5" ht="17.25">
      <c r="A25" s="166" t="s">
        <v>164</v>
      </c>
      <c r="B25" s="166"/>
      <c r="C25" s="166"/>
      <c r="D25" s="166"/>
      <c r="E25" s="54">
        <f>SUM(E20:E24)</f>
        <v>3392000000</v>
      </c>
    </row>
    <row r="26" spans="1:5" ht="18.75">
      <c r="A26" s="12"/>
      <c r="B26" s="12"/>
      <c r="C26" s="12"/>
      <c r="D26" s="20"/>
      <c r="E26" s="34"/>
    </row>
    <row r="27" spans="1:5" ht="15.75">
      <c r="A27" s="145" t="s">
        <v>0</v>
      </c>
      <c r="B27" s="145"/>
      <c r="C27" s="145"/>
      <c r="D27" s="145"/>
      <c r="E27" s="145"/>
    </row>
    <row r="28" spans="1:5" ht="15">
      <c r="A28" s="10"/>
      <c r="B28" s="10"/>
      <c r="C28" s="10"/>
      <c r="D28" s="10"/>
      <c r="E28" s="10"/>
    </row>
    <row r="29" spans="1:5" ht="15">
      <c r="A29" s="10"/>
      <c r="B29" s="10"/>
      <c r="C29" s="10"/>
      <c r="D29" s="10"/>
      <c r="E29" s="10"/>
    </row>
    <row r="30" spans="1:5" ht="15">
      <c r="A30" s="10"/>
      <c r="B30" s="10"/>
      <c r="C30" s="10"/>
      <c r="D30" s="10"/>
      <c r="E30" s="10"/>
    </row>
    <row r="31" spans="1:5" ht="15">
      <c r="A31" s="10"/>
      <c r="B31" s="10"/>
      <c r="C31" s="10"/>
      <c r="D31" s="10"/>
      <c r="E31" s="10"/>
    </row>
    <row r="32" spans="1:5" ht="15">
      <c r="A32" s="10"/>
      <c r="B32" s="10"/>
      <c r="C32" s="10"/>
      <c r="D32" s="10"/>
      <c r="E32" s="10"/>
    </row>
    <row r="33" spans="1:5" ht="19.5">
      <c r="A33" s="151"/>
      <c r="B33" s="151"/>
      <c r="C33" s="151"/>
      <c r="D33" s="151"/>
      <c r="E33" s="151"/>
    </row>
  </sheetData>
  <sheetProtection/>
  <mergeCells count="11">
    <mergeCell ref="A25:D25"/>
    <mergeCell ref="A27:E27"/>
    <mergeCell ref="A33:E33"/>
    <mergeCell ref="A8:E8"/>
    <mergeCell ref="A12:D12"/>
    <mergeCell ref="A13:D13"/>
    <mergeCell ref="A4:B4"/>
    <mergeCell ref="C4:E4"/>
    <mergeCell ref="A5:B5"/>
    <mergeCell ref="C5:E5"/>
    <mergeCell ref="A19:D19"/>
  </mergeCells>
  <printOptions/>
  <pageMargins left="1" right="0.25" top="1" bottom="0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</dc:creator>
  <cp:keywords/>
  <dc:description/>
  <cp:lastModifiedBy>VANPHONG</cp:lastModifiedBy>
  <cp:lastPrinted>2020-01-17T00:30:46Z</cp:lastPrinted>
  <dcterms:created xsi:type="dcterms:W3CDTF">1996-10-14T23:33:28Z</dcterms:created>
  <dcterms:modified xsi:type="dcterms:W3CDTF">2020-02-21T02:47:12Z</dcterms:modified>
  <cp:category/>
  <cp:version/>
  <cp:contentType/>
  <cp:contentStatus/>
</cp:coreProperties>
</file>